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285" yWindow="-240" windowWidth="22260" windowHeight="16440" tabRatio="500"/>
  </bookViews>
  <sheets>
    <sheet name="Документ (1)" sheetId="1" r:id="rId1"/>
  </sheets>
  <definedNames>
    <definedName name="_xlnm._FilterDatabase" localSheetId="0" hidden="1">'Документ (1)'!$A$17:$H$700</definedName>
    <definedName name="_xlnm.Print_Titles" localSheetId="0">'Документ (1)'!$17:$17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3" i="1" l="1"/>
  <c r="H72" i="1" s="1"/>
  <c r="H71" i="1" s="1"/>
  <c r="H70" i="1" s="1"/>
  <c r="H69" i="1" s="1"/>
  <c r="G73" i="1"/>
  <c r="F73" i="1"/>
  <c r="F72" i="1" s="1"/>
  <c r="F71" i="1" s="1"/>
  <c r="F70" i="1" s="1"/>
  <c r="F69" i="1" s="1"/>
  <c r="G72" i="1"/>
  <c r="G71" i="1" s="1"/>
  <c r="G70" i="1" s="1"/>
  <c r="G69" i="1" s="1"/>
  <c r="F680" i="1" l="1"/>
  <c r="F561" i="1"/>
  <c r="F547" i="1"/>
  <c r="F328" i="1"/>
  <c r="F525" i="1"/>
  <c r="F456" i="1"/>
  <c r="F397" i="1"/>
  <c r="F489" i="1"/>
  <c r="F487" i="1"/>
  <c r="F47" i="1"/>
  <c r="F138" i="1"/>
  <c r="F313" i="1"/>
  <c r="F301" i="1"/>
  <c r="F310" i="1" l="1"/>
  <c r="F355" i="1"/>
  <c r="F265" i="1" l="1"/>
  <c r="F264" i="1" s="1"/>
  <c r="F263" i="1" s="1"/>
  <c r="F262" i="1" s="1"/>
  <c r="F261" i="1" s="1"/>
  <c r="H265" i="1"/>
  <c r="H264" i="1" s="1"/>
  <c r="H263" i="1" s="1"/>
  <c r="H262" i="1" s="1"/>
  <c r="H261" i="1" s="1"/>
  <c r="G265" i="1"/>
  <c r="G264" i="1" s="1"/>
  <c r="G263" i="1" s="1"/>
  <c r="G262" i="1" s="1"/>
  <c r="G261" i="1" s="1"/>
  <c r="H294" i="1"/>
  <c r="H293" i="1" s="1"/>
  <c r="G294" i="1"/>
  <c r="G293" i="1" s="1"/>
  <c r="F294" i="1"/>
  <c r="F293" i="1" s="1"/>
  <c r="F248" i="1"/>
  <c r="F292" i="1"/>
  <c r="H178" i="1" l="1"/>
  <c r="H177" i="1" s="1"/>
  <c r="G178" i="1"/>
  <c r="G177" i="1" s="1"/>
  <c r="F178" i="1"/>
  <c r="F177" i="1" s="1"/>
  <c r="F176" i="1"/>
  <c r="F175" i="1"/>
  <c r="F174" i="1" l="1"/>
  <c r="F173" i="1" s="1"/>
  <c r="H174" i="1"/>
  <c r="H173" i="1" s="1"/>
  <c r="G174" i="1"/>
  <c r="G173" i="1" s="1"/>
  <c r="F272" i="1"/>
  <c r="F254" i="1"/>
  <c r="H399" i="1"/>
  <c r="H398" i="1" s="1"/>
  <c r="G399" i="1"/>
  <c r="G398" i="1" s="1"/>
  <c r="F399" i="1"/>
  <c r="F398" i="1" s="1"/>
  <c r="F307" i="1" l="1"/>
  <c r="F80" i="1"/>
  <c r="F618" i="1"/>
  <c r="F608" i="1" l="1"/>
  <c r="F607" i="1" s="1"/>
  <c r="F606" i="1" s="1"/>
  <c r="F605" i="1" s="1"/>
  <c r="F604" i="1" s="1"/>
  <c r="H617" i="1"/>
  <c r="H616" i="1" s="1"/>
  <c r="H615" i="1" s="1"/>
  <c r="H614" i="1" s="1"/>
  <c r="G617" i="1"/>
  <c r="G616" i="1" s="1"/>
  <c r="G615" i="1" s="1"/>
  <c r="G614" i="1" s="1"/>
  <c r="F617" i="1"/>
  <c r="F616" i="1" s="1"/>
  <c r="F615" i="1" s="1"/>
  <c r="F614" i="1" s="1"/>
  <c r="H607" i="1"/>
  <c r="H606" i="1" s="1"/>
  <c r="H605" i="1" s="1"/>
  <c r="H604" i="1" s="1"/>
  <c r="G607" i="1"/>
  <c r="G606" i="1" s="1"/>
  <c r="G605" i="1" s="1"/>
  <c r="G604" i="1" s="1"/>
  <c r="H566" i="1" l="1"/>
  <c r="G566" i="1"/>
  <c r="F566" i="1"/>
  <c r="H561" i="1"/>
  <c r="G561" i="1"/>
  <c r="F598" i="1"/>
  <c r="H602" i="1"/>
  <c r="H601" i="1" s="1"/>
  <c r="H600" i="1" s="1"/>
  <c r="H599" i="1" s="1"/>
  <c r="G602" i="1"/>
  <c r="G601" i="1" s="1"/>
  <c r="G600" i="1" s="1"/>
  <c r="G599" i="1" s="1"/>
  <c r="F602" i="1"/>
  <c r="F601" i="1" s="1"/>
  <c r="F600" i="1" s="1"/>
  <c r="F599" i="1" s="1"/>
  <c r="H350" i="1" l="1"/>
  <c r="G350" i="1"/>
  <c r="F350" i="1"/>
  <c r="H355" i="1"/>
  <c r="G355" i="1"/>
  <c r="F689" i="1" l="1"/>
  <c r="F420" i="1"/>
  <c r="F419" i="1" s="1"/>
  <c r="F418" i="1" s="1"/>
  <c r="F417" i="1"/>
  <c r="F416" i="1" s="1"/>
  <c r="F415" i="1" s="1"/>
  <c r="F414" i="1"/>
  <c r="F413" i="1" s="1"/>
  <c r="F412" i="1" s="1"/>
  <c r="F692" i="1"/>
  <c r="F691" i="1" s="1"/>
  <c r="F690" i="1" s="1"/>
  <c r="F674" i="1"/>
  <c r="H691" i="1"/>
  <c r="H690" i="1" s="1"/>
  <c r="G691" i="1"/>
  <c r="G690" i="1" s="1"/>
  <c r="H419" i="1"/>
  <c r="H418" i="1" s="1"/>
  <c r="G419" i="1"/>
  <c r="G418" i="1" s="1"/>
  <c r="H413" i="1"/>
  <c r="H412" i="1" s="1"/>
  <c r="G413" i="1"/>
  <c r="G412" i="1" s="1"/>
  <c r="H416" i="1"/>
  <c r="H415" i="1" s="1"/>
  <c r="G416" i="1"/>
  <c r="G415" i="1" s="1"/>
  <c r="H303" i="1"/>
  <c r="H302" i="1" s="1"/>
  <c r="G303" i="1"/>
  <c r="G302" i="1" s="1"/>
  <c r="F303" i="1"/>
  <c r="F302" i="1" s="1"/>
  <c r="H349" i="1" l="1"/>
  <c r="H348" i="1" s="1"/>
  <c r="G349" i="1"/>
  <c r="G348" i="1" s="1"/>
  <c r="F349" i="1"/>
  <c r="F348" i="1" s="1"/>
  <c r="H422" i="1" l="1"/>
  <c r="H421" i="1" s="1"/>
  <c r="G422" i="1"/>
  <c r="F422" i="1"/>
  <c r="F421" i="1" s="1"/>
  <c r="G421" i="1"/>
  <c r="H429" i="1"/>
  <c r="H428" i="1" s="1"/>
  <c r="H427" i="1" s="1"/>
  <c r="G429" i="1"/>
  <c r="G428" i="1" s="1"/>
  <c r="G427" i="1" s="1"/>
  <c r="F429" i="1"/>
  <c r="F428" i="1" s="1"/>
  <c r="F427" i="1" s="1"/>
  <c r="H426" i="1" l="1"/>
  <c r="G426" i="1"/>
  <c r="F426" i="1"/>
  <c r="H204" i="1"/>
  <c r="G204" i="1"/>
  <c r="F204" i="1"/>
  <c r="H205" i="1" l="1"/>
  <c r="G205" i="1"/>
  <c r="F205" i="1"/>
  <c r="H182" i="1"/>
  <c r="G182" i="1"/>
  <c r="F182" i="1"/>
  <c r="H406" i="1"/>
  <c r="G406" i="1"/>
  <c r="F406" i="1"/>
  <c r="H55" i="1"/>
  <c r="G55" i="1"/>
  <c r="F55" i="1"/>
  <c r="H214" i="1" l="1"/>
  <c r="G214" i="1"/>
  <c r="F214" i="1"/>
  <c r="F641" i="1"/>
  <c r="H624" i="1"/>
  <c r="G624" i="1"/>
  <c r="F624" i="1"/>
  <c r="H364" i="1"/>
  <c r="G364" i="1"/>
  <c r="F364" i="1"/>
  <c r="H193" i="1"/>
  <c r="G193" i="1"/>
  <c r="F193" i="1"/>
  <c r="H646" i="1" l="1"/>
  <c r="G646" i="1"/>
  <c r="F646" i="1"/>
  <c r="F638" i="1"/>
  <c r="H635" i="1"/>
  <c r="G635" i="1"/>
  <c r="F635" i="1"/>
  <c r="H634" i="1"/>
  <c r="G634" i="1"/>
  <c r="F634" i="1"/>
  <c r="H158" i="1"/>
  <c r="G158" i="1"/>
  <c r="F158" i="1"/>
  <c r="H201" i="1"/>
  <c r="G201" i="1"/>
  <c r="F201" i="1"/>
  <c r="H375" i="1"/>
  <c r="G375" i="1"/>
  <c r="F375" i="1"/>
  <c r="H403" i="1" l="1"/>
  <c r="G403" i="1"/>
  <c r="F403" i="1"/>
  <c r="F686" i="1"/>
  <c r="H275" i="1" l="1"/>
  <c r="G275" i="1"/>
  <c r="F275" i="1"/>
  <c r="H629" i="1"/>
  <c r="G629" i="1"/>
  <c r="F629" i="1"/>
  <c r="H698" i="1" l="1"/>
  <c r="H697" i="1" s="1"/>
  <c r="H696" i="1" s="1"/>
  <c r="H695" i="1" s="1"/>
  <c r="H694" i="1" s="1"/>
  <c r="H693" i="1" s="1"/>
  <c r="G698" i="1"/>
  <c r="G697" i="1" s="1"/>
  <c r="G696" i="1" s="1"/>
  <c r="G695" i="1" s="1"/>
  <c r="G694" i="1" s="1"/>
  <c r="G693" i="1" s="1"/>
  <c r="F698" i="1"/>
  <c r="F697" i="1" s="1"/>
  <c r="F696" i="1" s="1"/>
  <c r="F695" i="1" s="1"/>
  <c r="F694" i="1" s="1"/>
  <c r="F693" i="1" s="1"/>
  <c r="F688" i="1"/>
  <c r="F687" i="1" s="1"/>
  <c r="H688" i="1"/>
  <c r="H687" i="1" s="1"/>
  <c r="G688" i="1"/>
  <c r="G687" i="1" s="1"/>
  <c r="F685" i="1"/>
  <c r="F684" i="1" s="1"/>
  <c r="H685" i="1"/>
  <c r="H684" i="1" s="1"/>
  <c r="G685" i="1"/>
  <c r="G684" i="1" s="1"/>
  <c r="H683" i="1"/>
  <c r="H682" i="1" s="1"/>
  <c r="H681" i="1" s="1"/>
  <c r="G683" i="1"/>
  <c r="G682" i="1" s="1"/>
  <c r="G681" i="1" s="1"/>
  <c r="F683" i="1"/>
  <c r="F682" i="1" s="1"/>
  <c r="F681" i="1" s="1"/>
  <c r="H679" i="1"/>
  <c r="H678" i="1" s="1"/>
  <c r="G679" i="1"/>
  <c r="G678" i="1" s="1"/>
  <c r="F679" i="1"/>
  <c r="F678" i="1" s="1"/>
  <c r="H673" i="1"/>
  <c r="H672" i="1" s="1"/>
  <c r="H671" i="1" s="1"/>
  <c r="H670" i="1" s="1"/>
  <c r="H669" i="1" s="1"/>
  <c r="G673" i="1"/>
  <c r="G672" i="1" s="1"/>
  <c r="G671" i="1" s="1"/>
  <c r="G670" i="1" s="1"/>
  <c r="G669" i="1" s="1"/>
  <c r="F673" i="1"/>
  <c r="F672" i="1" s="1"/>
  <c r="F671" i="1" s="1"/>
  <c r="F670" i="1" s="1"/>
  <c r="F669" i="1" s="1"/>
  <c r="H666" i="1"/>
  <c r="H665" i="1" s="1"/>
  <c r="G666" i="1"/>
  <c r="G665" i="1" s="1"/>
  <c r="F666" i="1"/>
  <c r="F665" i="1" s="1"/>
  <c r="H663" i="1"/>
  <c r="G663" i="1"/>
  <c r="F663" i="1"/>
  <c r="H661" i="1"/>
  <c r="G661" i="1"/>
  <c r="F661" i="1"/>
  <c r="H656" i="1"/>
  <c r="G656" i="1"/>
  <c r="F656" i="1"/>
  <c r="H654" i="1"/>
  <c r="H653" i="1" s="1"/>
  <c r="G654" i="1"/>
  <c r="G653" i="1" s="1"/>
  <c r="F654" i="1"/>
  <c r="F653" i="1" s="1"/>
  <c r="H651" i="1"/>
  <c r="H650" i="1" s="1"/>
  <c r="G651" i="1"/>
  <c r="G650" i="1" s="1"/>
  <c r="F651" i="1"/>
  <c r="F650" i="1" s="1"/>
  <c r="H645" i="1"/>
  <c r="H644" i="1" s="1"/>
  <c r="H643" i="1" s="1"/>
  <c r="H642" i="1" s="1"/>
  <c r="G645" i="1"/>
  <c r="G644" i="1" s="1"/>
  <c r="G643" i="1" s="1"/>
  <c r="G642" i="1" s="1"/>
  <c r="F645" i="1"/>
  <c r="F644" i="1" s="1"/>
  <c r="F643" i="1" s="1"/>
  <c r="F642" i="1" s="1"/>
  <c r="H640" i="1"/>
  <c r="H639" i="1" s="1"/>
  <c r="G640" i="1"/>
  <c r="G639" i="1" s="1"/>
  <c r="F640" i="1"/>
  <c r="F639" i="1" s="1"/>
  <c r="H637" i="1"/>
  <c r="G637" i="1"/>
  <c r="F637" i="1"/>
  <c r="H633" i="1"/>
  <c r="G633" i="1"/>
  <c r="F633" i="1"/>
  <c r="H628" i="1"/>
  <c r="H627" i="1" s="1"/>
  <c r="H626" i="1" s="1"/>
  <c r="H625" i="1" s="1"/>
  <c r="G628" i="1"/>
  <c r="G627" i="1" s="1"/>
  <c r="G626" i="1" s="1"/>
  <c r="G625" i="1" s="1"/>
  <c r="F628" i="1"/>
  <c r="F627" i="1" s="1"/>
  <c r="F626" i="1" s="1"/>
  <c r="F625" i="1" s="1"/>
  <c r="H623" i="1"/>
  <c r="H622" i="1" s="1"/>
  <c r="H621" i="1" s="1"/>
  <c r="H620" i="1" s="1"/>
  <c r="G623" i="1"/>
  <c r="G622" i="1" s="1"/>
  <c r="G621" i="1" s="1"/>
  <c r="G620" i="1" s="1"/>
  <c r="F623" i="1"/>
  <c r="F622" i="1" s="1"/>
  <c r="F621" i="1" s="1"/>
  <c r="F620" i="1" s="1"/>
  <c r="H612" i="1"/>
  <c r="H611" i="1" s="1"/>
  <c r="H610" i="1" s="1"/>
  <c r="H609" i="1" s="1"/>
  <c r="G612" i="1"/>
  <c r="G611" i="1" s="1"/>
  <c r="G610" i="1" s="1"/>
  <c r="G609" i="1" s="1"/>
  <c r="F612" i="1"/>
  <c r="F611" i="1" s="1"/>
  <c r="F610" i="1" s="1"/>
  <c r="F609" i="1" s="1"/>
  <c r="H597" i="1"/>
  <c r="H596" i="1" s="1"/>
  <c r="H595" i="1" s="1"/>
  <c r="H594" i="1" s="1"/>
  <c r="G597" i="1"/>
  <c r="G596" i="1" s="1"/>
  <c r="G595" i="1" s="1"/>
  <c r="G594" i="1" s="1"/>
  <c r="F597" i="1"/>
  <c r="F596" i="1" s="1"/>
  <c r="F595" i="1" s="1"/>
  <c r="F594" i="1" s="1"/>
  <c r="H591" i="1"/>
  <c r="H590" i="1" s="1"/>
  <c r="H589" i="1" s="1"/>
  <c r="H588" i="1" s="1"/>
  <c r="H587" i="1" s="1"/>
  <c r="G591" i="1"/>
  <c r="G590" i="1" s="1"/>
  <c r="G589" i="1" s="1"/>
  <c r="G588" i="1" s="1"/>
  <c r="G587" i="1" s="1"/>
  <c r="F591" i="1"/>
  <c r="F590" i="1" s="1"/>
  <c r="F589" i="1" s="1"/>
  <c r="F588" i="1" s="1"/>
  <c r="F587" i="1" s="1"/>
  <c r="H584" i="1"/>
  <c r="G584" i="1"/>
  <c r="F584" i="1"/>
  <c r="H582" i="1"/>
  <c r="G582" i="1"/>
  <c r="F582" i="1"/>
  <c r="H580" i="1"/>
  <c r="G580" i="1"/>
  <c r="F580" i="1"/>
  <c r="H573" i="1"/>
  <c r="H572" i="1" s="1"/>
  <c r="H571" i="1" s="1"/>
  <c r="H570" i="1" s="1"/>
  <c r="G573" i="1"/>
  <c r="G572" i="1" s="1"/>
  <c r="G571" i="1" s="1"/>
  <c r="G570" i="1" s="1"/>
  <c r="F573" i="1"/>
  <c r="F572" i="1" s="1"/>
  <c r="F571" i="1" s="1"/>
  <c r="F570" i="1" s="1"/>
  <c r="H569" i="1"/>
  <c r="H568" i="1" s="1"/>
  <c r="H567" i="1" s="1"/>
  <c r="G569" i="1"/>
  <c r="G568" i="1" s="1"/>
  <c r="G567" i="1" s="1"/>
  <c r="F569" i="1"/>
  <c r="F568" i="1" s="1"/>
  <c r="F567" i="1" s="1"/>
  <c r="H565" i="1"/>
  <c r="H564" i="1" s="1"/>
  <c r="G565" i="1"/>
  <c r="G564" i="1" s="1"/>
  <c r="F565" i="1"/>
  <c r="F564" i="1" s="1"/>
  <c r="H562" i="1"/>
  <c r="G562" i="1"/>
  <c r="F562" i="1"/>
  <c r="H560" i="1"/>
  <c r="G560" i="1"/>
  <c r="F560" i="1"/>
  <c r="H558" i="1"/>
  <c r="G558" i="1"/>
  <c r="F558" i="1"/>
  <c r="H555" i="1"/>
  <c r="G555" i="1"/>
  <c r="F555" i="1"/>
  <c r="H553" i="1"/>
  <c r="G553" i="1"/>
  <c r="F553" i="1"/>
  <c r="H551" i="1"/>
  <c r="G551" i="1"/>
  <c r="F551" i="1"/>
  <c r="H548" i="1"/>
  <c r="G548" i="1"/>
  <c r="F548" i="1"/>
  <c r="H547" i="1"/>
  <c r="H546" i="1" s="1"/>
  <c r="G547" i="1"/>
  <c r="G546" i="1" s="1"/>
  <c r="F546" i="1"/>
  <c r="H544" i="1"/>
  <c r="G544" i="1"/>
  <c r="F544" i="1"/>
  <c r="H536" i="1"/>
  <c r="H535" i="1" s="1"/>
  <c r="H534" i="1" s="1"/>
  <c r="H533" i="1" s="1"/>
  <c r="G536" i="1"/>
  <c r="G535" i="1" s="1"/>
  <c r="G534" i="1" s="1"/>
  <c r="G533" i="1" s="1"/>
  <c r="F536" i="1"/>
  <c r="F535" i="1" s="1"/>
  <c r="F534" i="1" s="1"/>
  <c r="F533" i="1" s="1"/>
  <c r="H531" i="1"/>
  <c r="H530" i="1" s="1"/>
  <c r="H529" i="1" s="1"/>
  <c r="H528" i="1" s="1"/>
  <c r="G531" i="1"/>
  <c r="G530" i="1" s="1"/>
  <c r="G529" i="1" s="1"/>
  <c r="G528" i="1" s="1"/>
  <c r="F531" i="1"/>
  <c r="F530" i="1" s="1"/>
  <c r="F529" i="1" s="1"/>
  <c r="F528" i="1" s="1"/>
  <c r="H526" i="1"/>
  <c r="G526" i="1"/>
  <c r="F526" i="1"/>
  <c r="H524" i="1"/>
  <c r="G524" i="1"/>
  <c r="F524" i="1"/>
  <c r="H522" i="1"/>
  <c r="G522" i="1"/>
  <c r="F522" i="1"/>
  <c r="H517" i="1"/>
  <c r="H516" i="1" s="1"/>
  <c r="G517" i="1"/>
  <c r="G516" i="1" s="1"/>
  <c r="F517" i="1"/>
  <c r="F516" i="1" s="1"/>
  <c r="H514" i="1"/>
  <c r="H513" i="1" s="1"/>
  <c r="G514" i="1"/>
  <c r="G513" i="1" s="1"/>
  <c r="F514" i="1"/>
  <c r="F513" i="1" s="1"/>
  <c r="H511" i="1"/>
  <c r="G511" i="1"/>
  <c r="F511" i="1"/>
  <c r="H509" i="1"/>
  <c r="G509" i="1"/>
  <c r="F509" i="1"/>
  <c r="H506" i="1"/>
  <c r="H505" i="1" s="1"/>
  <c r="G506" i="1"/>
  <c r="G505" i="1" s="1"/>
  <c r="F506" i="1"/>
  <c r="F505" i="1" s="1"/>
  <c r="H500" i="1"/>
  <c r="H499" i="1" s="1"/>
  <c r="H498" i="1" s="1"/>
  <c r="H497" i="1" s="1"/>
  <c r="G500" i="1"/>
  <c r="G499" i="1" s="1"/>
  <c r="G498" i="1" s="1"/>
  <c r="G497" i="1" s="1"/>
  <c r="F500" i="1"/>
  <c r="F499" i="1" s="1"/>
  <c r="F498" i="1" s="1"/>
  <c r="F497" i="1" s="1"/>
  <c r="H495" i="1"/>
  <c r="G495" i="1"/>
  <c r="F495" i="1"/>
  <c r="H493" i="1"/>
  <c r="G493" i="1"/>
  <c r="F493" i="1"/>
  <c r="H488" i="1"/>
  <c r="G488" i="1"/>
  <c r="F488" i="1"/>
  <c r="H486" i="1"/>
  <c r="G486" i="1"/>
  <c r="F486" i="1"/>
  <c r="H481" i="1"/>
  <c r="G481" i="1"/>
  <c r="F481" i="1"/>
  <c r="H479" i="1"/>
  <c r="G479" i="1"/>
  <c r="F479" i="1"/>
  <c r="H473" i="1"/>
  <c r="G473" i="1"/>
  <c r="F473" i="1"/>
  <c r="H471" i="1"/>
  <c r="G471" i="1"/>
  <c r="F471" i="1"/>
  <c r="H466" i="1"/>
  <c r="H465" i="1" s="1"/>
  <c r="H464" i="1" s="1"/>
  <c r="H463" i="1" s="1"/>
  <c r="H462" i="1" s="1"/>
  <c r="G466" i="1"/>
  <c r="G465" i="1" s="1"/>
  <c r="G464" i="1" s="1"/>
  <c r="G463" i="1" s="1"/>
  <c r="G462" i="1" s="1"/>
  <c r="F466" i="1"/>
  <c r="F465" i="1" s="1"/>
  <c r="F464" i="1" s="1"/>
  <c r="F463" i="1" s="1"/>
  <c r="F462" i="1" s="1"/>
  <c r="H460" i="1"/>
  <c r="H459" i="1" s="1"/>
  <c r="G460" i="1"/>
  <c r="G459" i="1" s="1"/>
  <c r="F460" i="1"/>
  <c r="F459" i="1" s="1"/>
  <c r="H457" i="1"/>
  <c r="G457" i="1"/>
  <c r="F457" i="1"/>
  <c r="H455" i="1"/>
  <c r="G455" i="1"/>
  <c r="F455" i="1"/>
  <c r="H453" i="1"/>
  <c r="G453" i="1"/>
  <c r="F453" i="1"/>
  <c r="H451" i="1"/>
  <c r="H450" i="1" s="1"/>
  <c r="H449" i="1" s="1"/>
  <c r="G451" i="1"/>
  <c r="G450" i="1" s="1"/>
  <c r="G449" i="1" s="1"/>
  <c r="F451" i="1"/>
  <c r="F450" i="1" s="1"/>
  <c r="F449" i="1" s="1"/>
  <c r="H443" i="1"/>
  <c r="H442" i="1" s="1"/>
  <c r="H441" i="1" s="1"/>
  <c r="H440" i="1" s="1"/>
  <c r="G443" i="1"/>
  <c r="G442" i="1" s="1"/>
  <c r="G441" i="1" s="1"/>
  <c r="G440" i="1" s="1"/>
  <c r="F443" i="1"/>
  <c r="F442" i="1" s="1"/>
  <c r="F441" i="1" s="1"/>
  <c r="F440" i="1" s="1"/>
  <c r="H438" i="1"/>
  <c r="H437" i="1" s="1"/>
  <c r="H436" i="1" s="1"/>
  <c r="H435" i="1" s="1"/>
  <c r="G438" i="1"/>
  <c r="G437" i="1" s="1"/>
  <c r="G436" i="1" s="1"/>
  <c r="G435" i="1" s="1"/>
  <c r="F438" i="1"/>
  <c r="F437" i="1" s="1"/>
  <c r="F436" i="1" s="1"/>
  <c r="F435" i="1" s="1"/>
  <c r="H433" i="1"/>
  <c r="H432" i="1" s="1"/>
  <c r="H431" i="1" s="1"/>
  <c r="H430" i="1" s="1"/>
  <c r="G433" i="1"/>
  <c r="G432" i="1" s="1"/>
  <c r="G431" i="1" s="1"/>
  <c r="G430" i="1" s="1"/>
  <c r="F433" i="1"/>
  <c r="F432" i="1" s="1"/>
  <c r="F431" i="1" s="1"/>
  <c r="F430" i="1" s="1"/>
  <c r="H425" i="1"/>
  <c r="H424" i="1" s="1"/>
  <c r="G425" i="1"/>
  <c r="G424" i="1" s="1"/>
  <c r="F425" i="1"/>
  <c r="F424" i="1" s="1"/>
  <c r="H410" i="1"/>
  <c r="G410" i="1"/>
  <c r="F410" i="1"/>
  <c r="H408" i="1"/>
  <c r="G408" i="1"/>
  <c r="F408" i="1"/>
  <c r="H405" i="1"/>
  <c r="H404" i="1" s="1"/>
  <c r="G405" i="1"/>
  <c r="G404" i="1" s="1"/>
  <c r="F405" i="1"/>
  <c r="F404" i="1" s="1"/>
  <c r="H402" i="1"/>
  <c r="H401" i="1" s="1"/>
  <c r="G402" i="1"/>
  <c r="G401" i="1" s="1"/>
  <c r="F402" i="1"/>
  <c r="F401" i="1" s="1"/>
  <c r="H397" i="1"/>
  <c r="H396" i="1" s="1"/>
  <c r="H395" i="1" s="1"/>
  <c r="H394" i="1" s="1"/>
  <c r="G397" i="1"/>
  <c r="G396" i="1" s="1"/>
  <c r="G395" i="1" s="1"/>
  <c r="G394" i="1" s="1"/>
  <c r="F396" i="1"/>
  <c r="F395" i="1" s="1"/>
  <c r="F394" i="1" s="1"/>
  <c r="H389" i="1"/>
  <c r="H388" i="1" s="1"/>
  <c r="H387" i="1" s="1"/>
  <c r="H386" i="1" s="1"/>
  <c r="G389" i="1"/>
  <c r="G388" i="1" s="1"/>
  <c r="G387" i="1" s="1"/>
  <c r="G386" i="1" s="1"/>
  <c r="F389" i="1"/>
  <c r="F388" i="1" s="1"/>
  <c r="F387" i="1" s="1"/>
  <c r="F386" i="1" s="1"/>
  <c r="H384" i="1"/>
  <c r="H383" i="1" s="1"/>
  <c r="H382" i="1" s="1"/>
  <c r="H381" i="1" s="1"/>
  <c r="G384" i="1"/>
  <c r="G383" i="1" s="1"/>
  <c r="G382" i="1" s="1"/>
  <c r="G381" i="1" s="1"/>
  <c r="F384" i="1"/>
  <c r="F383" i="1" s="1"/>
  <c r="F382" i="1" s="1"/>
  <c r="F381" i="1" s="1"/>
  <c r="H379" i="1"/>
  <c r="G379" i="1"/>
  <c r="F379" i="1"/>
  <c r="H378" i="1"/>
  <c r="H377" i="1" s="1"/>
  <c r="H376" i="1" s="1"/>
  <c r="G378" i="1"/>
  <c r="G377" i="1" s="1"/>
  <c r="G376" i="1" s="1"/>
  <c r="F378" i="1"/>
  <c r="F377" i="1" s="1"/>
  <c r="F376" i="1" s="1"/>
  <c r="H374" i="1"/>
  <c r="H373" i="1" s="1"/>
  <c r="G374" i="1"/>
  <c r="G373" i="1" s="1"/>
  <c r="F374" i="1"/>
  <c r="F373" i="1" s="1"/>
  <c r="H372" i="1"/>
  <c r="H371" i="1" s="1"/>
  <c r="H370" i="1" s="1"/>
  <c r="H369" i="1" s="1"/>
  <c r="G372" i="1"/>
  <c r="G371" i="1" s="1"/>
  <c r="G370" i="1" s="1"/>
  <c r="G369" i="1" s="1"/>
  <c r="F371" i="1"/>
  <c r="F370" i="1" s="1"/>
  <c r="F369" i="1" s="1"/>
  <c r="H363" i="1"/>
  <c r="H362" i="1" s="1"/>
  <c r="H361" i="1" s="1"/>
  <c r="H360" i="1" s="1"/>
  <c r="H359" i="1" s="1"/>
  <c r="G363" i="1"/>
  <c r="G362" i="1" s="1"/>
  <c r="G361" i="1" s="1"/>
  <c r="G360" i="1" s="1"/>
  <c r="G359" i="1" s="1"/>
  <c r="F363" i="1"/>
  <c r="F362" i="1" s="1"/>
  <c r="F361" i="1" s="1"/>
  <c r="F360" i="1" s="1"/>
  <c r="F359" i="1" s="1"/>
  <c r="H357" i="1"/>
  <c r="H356" i="1" s="1"/>
  <c r="G357" i="1"/>
  <c r="G356" i="1" s="1"/>
  <c r="F357" i="1"/>
  <c r="F356" i="1" s="1"/>
  <c r="H354" i="1"/>
  <c r="H353" i="1" s="1"/>
  <c r="G354" i="1"/>
  <c r="G353" i="1" s="1"/>
  <c r="F354" i="1"/>
  <c r="F353" i="1" s="1"/>
  <c r="H347" i="1"/>
  <c r="H346" i="1" s="1"/>
  <c r="H345" i="1" s="1"/>
  <c r="G347" i="1"/>
  <c r="G346" i="1" s="1"/>
  <c r="G345" i="1" s="1"/>
  <c r="F346" i="1"/>
  <c r="F345" i="1" s="1"/>
  <c r="H341" i="1"/>
  <c r="H340" i="1" s="1"/>
  <c r="G341" i="1"/>
  <c r="G340" i="1" s="1"/>
  <c r="F341" i="1"/>
  <c r="F340" i="1" s="1"/>
  <c r="H338" i="1"/>
  <c r="H337" i="1" s="1"/>
  <c r="G338" i="1"/>
  <c r="G337" i="1" s="1"/>
  <c r="F338" i="1"/>
  <c r="F337" i="1" s="1"/>
  <c r="F336" i="1"/>
  <c r="F335" i="1" s="1"/>
  <c r="F334" i="1" s="1"/>
  <c r="H335" i="1"/>
  <c r="H334" i="1" s="1"/>
  <c r="G335" i="1"/>
  <c r="G334" i="1" s="1"/>
  <c r="H332" i="1"/>
  <c r="H331" i="1" s="1"/>
  <c r="G332" i="1"/>
  <c r="G331" i="1" s="1"/>
  <c r="F332" i="1"/>
  <c r="F331" i="1" s="1"/>
  <c r="H327" i="1"/>
  <c r="H326" i="1" s="1"/>
  <c r="H325" i="1" s="1"/>
  <c r="H324" i="1" s="1"/>
  <c r="G327" i="1"/>
  <c r="G326" i="1" s="1"/>
  <c r="G325" i="1" s="1"/>
  <c r="G324" i="1" s="1"/>
  <c r="F327" i="1"/>
  <c r="F326" i="1" s="1"/>
  <c r="F325" i="1" s="1"/>
  <c r="F324" i="1" s="1"/>
  <c r="H321" i="1"/>
  <c r="H320" i="1" s="1"/>
  <c r="G321" i="1"/>
  <c r="G320" i="1" s="1"/>
  <c r="F321" i="1"/>
  <c r="F320" i="1" s="1"/>
  <c r="F319" i="1"/>
  <c r="F318" i="1" s="1"/>
  <c r="F317" i="1" s="1"/>
  <c r="H318" i="1"/>
  <c r="H317" i="1" s="1"/>
  <c r="G318" i="1"/>
  <c r="G317" i="1" s="1"/>
  <c r="H315" i="1"/>
  <c r="H314" i="1" s="1"/>
  <c r="G315" i="1"/>
  <c r="G314" i="1" s="1"/>
  <c r="F315" i="1"/>
  <c r="F314" i="1" s="1"/>
  <c r="H312" i="1"/>
  <c r="H311" i="1" s="1"/>
  <c r="G312" i="1"/>
  <c r="G311" i="1" s="1"/>
  <c r="F312" i="1"/>
  <c r="F311" i="1" s="1"/>
  <c r="H309" i="1"/>
  <c r="H308" i="1" s="1"/>
  <c r="G309" i="1"/>
  <c r="G308" i="1" s="1"/>
  <c r="F309" i="1"/>
  <c r="F308" i="1" s="1"/>
  <c r="F306" i="1"/>
  <c r="F305" i="1" s="1"/>
  <c r="H306" i="1"/>
  <c r="H305" i="1" s="1"/>
  <c r="G306" i="1"/>
  <c r="G305" i="1" s="1"/>
  <c r="H300" i="1"/>
  <c r="H299" i="1" s="1"/>
  <c r="G300" i="1"/>
  <c r="G299" i="1" s="1"/>
  <c r="F300" i="1"/>
  <c r="F299" i="1" s="1"/>
  <c r="H291" i="1"/>
  <c r="H290" i="1" s="1"/>
  <c r="G291" i="1"/>
  <c r="G290" i="1" s="1"/>
  <c r="F291" i="1"/>
  <c r="F290" i="1" s="1"/>
  <c r="H288" i="1"/>
  <c r="H287" i="1" s="1"/>
  <c r="G288" i="1"/>
  <c r="G287" i="1" s="1"/>
  <c r="F288" i="1"/>
  <c r="F287" i="1" s="1"/>
  <c r="H281" i="1"/>
  <c r="G281" i="1"/>
  <c r="F281" i="1"/>
  <c r="H279" i="1"/>
  <c r="G279" i="1"/>
  <c r="F279" i="1"/>
  <c r="H274" i="1"/>
  <c r="H273" i="1" s="1"/>
  <c r="G274" i="1"/>
  <c r="G273" i="1" s="1"/>
  <c r="F274" i="1"/>
  <c r="F273" i="1" s="1"/>
  <c r="H271" i="1"/>
  <c r="H270" i="1" s="1"/>
  <c r="G271" i="1"/>
  <c r="G270" i="1" s="1"/>
  <c r="F271" i="1"/>
  <c r="F270" i="1" s="1"/>
  <c r="H259" i="1"/>
  <c r="H258" i="1" s="1"/>
  <c r="G259" i="1"/>
  <c r="G258" i="1" s="1"/>
  <c r="F259" i="1"/>
  <c r="F258" i="1" s="1"/>
  <c r="H257" i="1"/>
  <c r="H256" i="1" s="1"/>
  <c r="H255" i="1" s="1"/>
  <c r="G257" i="1"/>
  <c r="G256" i="1" s="1"/>
  <c r="G255" i="1" s="1"/>
  <c r="F257" i="1"/>
  <c r="F256" i="1" s="1"/>
  <c r="F255" i="1" s="1"/>
  <c r="H254" i="1"/>
  <c r="H253" i="1" s="1"/>
  <c r="H252" i="1" s="1"/>
  <c r="G254" i="1"/>
  <c r="G253" i="1" s="1"/>
  <c r="G252" i="1" s="1"/>
  <c r="F253" i="1"/>
  <c r="F252" i="1" s="1"/>
  <c r="F247" i="1"/>
  <c r="F246" i="1" s="1"/>
  <c r="H247" i="1"/>
  <c r="H246" i="1" s="1"/>
  <c r="G247" i="1"/>
  <c r="G246" i="1" s="1"/>
  <c r="H245" i="1"/>
  <c r="H244" i="1" s="1"/>
  <c r="H243" i="1" s="1"/>
  <c r="G244" i="1"/>
  <c r="G243" i="1" s="1"/>
  <c r="F244" i="1"/>
  <c r="F243" i="1" s="1"/>
  <c r="H238" i="1"/>
  <c r="H237" i="1" s="1"/>
  <c r="H236" i="1" s="1"/>
  <c r="H235" i="1" s="1"/>
  <c r="G238" i="1"/>
  <c r="G237" i="1" s="1"/>
  <c r="G236" i="1" s="1"/>
  <c r="G235" i="1" s="1"/>
  <c r="F238" i="1"/>
  <c r="F237" i="1" s="1"/>
  <c r="F236" i="1" s="1"/>
  <c r="F235" i="1" s="1"/>
  <c r="H233" i="1"/>
  <c r="H232" i="1" s="1"/>
  <c r="H231" i="1" s="1"/>
  <c r="H230" i="1" s="1"/>
  <c r="G233" i="1"/>
  <c r="G232" i="1" s="1"/>
  <c r="G231" i="1" s="1"/>
  <c r="G230" i="1" s="1"/>
  <c r="F233" i="1"/>
  <c r="F232" i="1" s="1"/>
  <c r="F231" i="1" s="1"/>
  <c r="F230" i="1" s="1"/>
  <c r="G227" i="1"/>
  <c r="G226" i="1" s="1"/>
  <c r="G225" i="1" s="1"/>
  <c r="H226" i="1"/>
  <c r="H225" i="1" s="1"/>
  <c r="F226" i="1"/>
  <c r="F225" i="1" s="1"/>
  <c r="F224" i="1"/>
  <c r="F223" i="1" s="1"/>
  <c r="F222" i="1" s="1"/>
  <c r="H223" i="1"/>
  <c r="H222" i="1" s="1"/>
  <c r="G223" i="1"/>
  <c r="G222" i="1" s="1"/>
  <c r="H220" i="1"/>
  <c r="H219" i="1" s="1"/>
  <c r="G220" i="1"/>
  <c r="G219" i="1" s="1"/>
  <c r="F220" i="1"/>
  <c r="F219" i="1" s="1"/>
  <c r="H213" i="1"/>
  <c r="H212" i="1" s="1"/>
  <c r="H211" i="1" s="1"/>
  <c r="H210" i="1" s="1"/>
  <c r="H209" i="1" s="1"/>
  <c r="H208" i="1" s="1"/>
  <c r="H207" i="1" s="1"/>
  <c r="G213" i="1"/>
  <c r="G212" i="1" s="1"/>
  <c r="G211" i="1" s="1"/>
  <c r="G210" i="1" s="1"/>
  <c r="G209" i="1" s="1"/>
  <c r="G208" i="1" s="1"/>
  <c r="G207" i="1" s="1"/>
  <c r="F213" i="1"/>
  <c r="F212" i="1" s="1"/>
  <c r="F211" i="1" s="1"/>
  <c r="F210" i="1" s="1"/>
  <c r="F209" i="1" s="1"/>
  <c r="F208" i="1" s="1"/>
  <c r="F207" i="1" s="1"/>
  <c r="H203" i="1"/>
  <c r="H202" i="1" s="1"/>
  <c r="G203" i="1"/>
  <c r="G202" i="1" s="1"/>
  <c r="F203" i="1"/>
  <c r="F202" i="1" s="1"/>
  <c r="H200" i="1"/>
  <c r="G200" i="1"/>
  <c r="F200" i="1"/>
  <c r="H198" i="1"/>
  <c r="G198" i="1"/>
  <c r="F198" i="1"/>
  <c r="H195" i="1"/>
  <c r="H194" i="1" s="1"/>
  <c r="G195" i="1"/>
  <c r="G194" i="1" s="1"/>
  <c r="F195" i="1"/>
  <c r="F194" i="1" s="1"/>
  <c r="H192" i="1"/>
  <c r="G192" i="1"/>
  <c r="F192" i="1"/>
  <c r="H190" i="1"/>
  <c r="G190" i="1"/>
  <c r="F190" i="1"/>
  <c r="H187" i="1"/>
  <c r="H186" i="1" s="1"/>
  <c r="G187" i="1"/>
  <c r="G186" i="1" s="1"/>
  <c r="F187" i="1"/>
  <c r="F186" i="1" s="1"/>
  <c r="H184" i="1"/>
  <c r="H183" i="1" s="1"/>
  <c r="G184" i="1"/>
  <c r="G183" i="1" s="1"/>
  <c r="F184" i="1"/>
  <c r="F183" i="1" s="1"/>
  <c r="H181" i="1"/>
  <c r="H180" i="1" s="1"/>
  <c r="G181" i="1"/>
  <c r="G180" i="1" s="1"/>
  <c r="F181" i="1"/>
  <c r="F180" i="1" s="1"/>
  <c r="H171" i="1"/>
  <c r="H170" i="1" s="1"/>
  <c r="G171" i="1"/>
  <c r="G170" i="1" s="1"/>
  <c r="F171" i="1"/>
  <c r="F170" i="1" s="1"/>
  <c r="H166" i="1"/>
  <c r="G166" i="1"/>
  <c r="F166" i="1"/>
  <c r="H164" i="1"/>
  <c r="G164" i="1"/>
  <c r="F164" i="1"/>
  <c r="H162" i="1"/>
  <c r="G162" i="1"/>
  <c r="F162" i="1"/>
  <c r="H157" i="1"/>
  <c r="H156" i="1" s="1"/>
  <c r="H155" i="1" s="1"/>
  <c r="H154" i="1" s="1"/>
  <c r="G157" i="1"/>
  <c r="G156" i="1" s="1"/>
  <c r="G155" i="1" s="1"/>
  <c r="G154" i="1" s="1"/>
  <c r="F157" i="1"/>
  <c r="F156" i="1" s="1"/>
  <c r="F155" i="1" s="1"/>
  <c r="F154" i="1" s="1"/>
  <c r="H152" i="1"/>
  <c r="H151" i="1" s="1"/>
  <c r="H150" i="1" s="1"/>
  <c r="H149" i="1" s="1"/>
  <c r="G152" i="1"/>
  <c r="G151" i="1" s="1"/>
  <c r="G150" i="1" s="1"/>
  <c r="G149" i="1" s="1"/>
  <c r="F152" i="1"/>
  <c r="F151" i="1" s="1"/>
  <c r="F150" i="1" s="1"/>
  <c r="F149" i="1" s="1"/>
  <c r="H147" i="1"/>
  <c r="H146" i="1" s="1"/>
  <c r="H145" i="1" s="1"/>
  <c r="H144" i="1" s="1"/>
  <c r="G147" i="1"/>
  <c r="G146" i="1" s="1"/>
  <c r="G145" i="1" s="1"/>
  <c r="G144" i="1" s="1"/>
  <c r="F147" i="1"/>
  <c r="F146" i="1" s="1"/>
  <c r="F145" i="1" s="1"/>
  <c r="F144" i="1" s="1"/>
  <c r="H142" i="1"/>
  <c r="H141" i="1" s="1"/>
  <c r="H140" i="1" s="1"/>
  <c r="H139" i="1" s="1"/>
  <c r="G142" i="1"/>
  <c r="G141" i="1" s="1"/>
  <c r="G140" i="1" s="1"/>
  <c r="G139" i="1" s="1"/>
  <c r="F142" i="1"/>
  <c r="F141" i="1" s="1"/>
  <c r="F140" i="1" s="1"/>
  <c r="F139" i="1" s="1"/>
  <c r="H137" i="1"/>
  <c r="H136" i="1" s="1"/>
  <c r="H135" i="1" s="1"/>
  <c r="H134" i="1" s="1"/>
  <c r="G137" i="1"/>
  <c r="G136" i="1" s="1"/>
  <c r="G135" i="1" s="1"/>
  <c r="G134" i="1" s="1"/>
  <c r="F137" i="1"/>
  <c r="F136" i="1" s="1"/>
  <c r="F135" i="1" s="1"/>
  <c r="F134" i="1" s="1"/>
  <c r="H132" i="1"/>
  <c r="G132" i="1"/>
  <c r="F132" i="1"/>
  <c r="H131" i="1"/>
  <c r="H130" i="1" s="1"/>
  <c r="G131" i="1"/>
  <c r="G130" i="1" s="1"/>
  <c r="F131" i="1"/>
  <c r="F130" i="1" s="1"/>
  <c r="H129" i="1"/>
  <c r="H128" i="1" s="1"/>
  <c r="G129" i="1"/>
  <c r="G128" i="1" s="1"/>
  <c r="F129" i="1"/>
  <c r="F128" i="1" s="1"/>
  <c r="H124" i="1"/>
  <c r="H123" i="1" s="1"/>
  <c r="G124" i="1"/>
  <c r="G123" i="1" s="1"/>
  <c r="F124" i="1"/>
  <c r="F123" i="1" s="1"/>
  <c r="H121" i="1"/>
  <c r="H120" i="1" s="1"/>
  <c r="G121" i="1"/>
  <c r="G120" i="1" s="1"/>
  <c r="F121" i="1"/>
  <c r="F120" i="1" s="1"/>
  <c r="H118" i="1"/>
  <c r="H117" i="1" s="1"/>
  <c r="G118" i="1"/>
  <c r="G117" i="1" s="1"/>
  <c r="F118" i="1"/>
  <c r="F117" i="1" s="1"/>
  <c r="H115" i="1"/>
  <c r="H114" i="1" s="1"/>
  <c r="G115" i="1"/>
  <c r="G114" i="1" s="1"/>
  <c r="F115" i="1"/>
  <c r="F114" i="1" s="1"/>
  <c r="H110" i="1"/>
  <c r="H109" i="1" s="1"/>
  <c r="G110" i="1"/>
  <c r="G109" i="1" s="1"/>
  <c r="F110" i="1"/>
  <c r="F109" i="1" s="1"/>
  <c r="H107" i="1"/>
  <c r="H106" i="1" s="1"/>
  <c r="G107" i="1"/>
  <c r="G106" i="1" s="1"/>
  <c r="F107" i="1"/>
  <c r="F106" i="1" s="1"/>
  <c r="H104" i="1"/>
  <c r="H103" i="1" s="1"/>
  <c r="G104" i="1"/>
  <c r="G103" i="1" s="1"/>
  <c r="F104" i="1"/>
  <c r="F103" i="1" s="1"/>
  <c r="H99" i="1"/>
  <c r="G99" i="1"/>
  <c r="F99" i="1"/>
  <c r="H97" i="1"/>
  <c r="G97" i="1"/>
  <c r="F97" i="1"/>
  <c r="H95" i="1"/>
  <c r="G95" i="1"/>
  <c r="F95" i="1"/>
  <c r="H90" i="1"/>
  <c r="H89" i="1" s="1"/>
  <c r="H88" i="1" s="1"/>
  <c r="H87" i="1" s="1"/>
  <c r="G90" i="1"/>
  <c r="G89" i="1" s="1"/>
  <c r="G88" i="1" s="1"/>
  <c r="G87" i="1" s="1"/>
  <c r="F90" i="1"/>
  <c r="F89" i="1" s="1"/>
  <c r="F88" i="1" s="1"/>
  <c r="F87" i="1" s="1"/>
  <c r="H85" i="1"/>
  <c r="H84" i="1" s="1"/>
  <c r="H83" i="1" s="1"/>
  <c r="H82" i="1" s="1"/>
  <c r="G85" i="1"/>
  <c r="G84" i="1" s="1"/>
  <c r="G83" i="1" s="1"/>
  <c r="G82" i="1" s="1"/>
  <c r="F85" i="1"/>
  <c r="F84" i="1" s="1"/>
  <c r="F83" i="1" s="1"/>
  <c r="F82" i="1" s="1"/>
  <c r="H79" i="1"/>
  <c r="H78" i="1" s="1"/>
  <c r="H77" i="1" s="1"/>
  <c r="H76" i="1" s="1"/>
  <c r="H75" i="1" s="1"/>
  <c r="G79" i="1"/>
  <c r="G78" i="1" s="1"/>
  <c r="G77" i="1" s="1"/>
  <c r="G76" i="1" s="1"/>
  <c r="G75" i="1" s="1"/>
  <c r="F79" i="1"/>
  <c r="F78" i="1" s="1"/>
  <c r="F77" i="1" s="1"/>
  <c r="F76" i="1" s="1"/>
  <c r="F75" i="1" s="1"/>
  <c r="H67" i="1"/>
  <c r="H66" i="1" s="1"/>
  <c r="G67" i="1"/>
  <c r="G66" i="1" s="1"/>
  <c r="F67" i="1"/>
  <c r="F66" i="1" s="1"/>
  <c r="H65" i="1"/>
  <c r="H64" i="1" s="1"/>
  <c r="G65" i="1"/>
  <c r="G64" i="1" s="1"/>
  <c r="F65" i="1"/>
  <c r="F64" i="1" s="1"/>
  <c r="H63" i="1"/>
  <c r="H62" i="1" s="1"/>
  <c r="G63" i="1"/>
  <c r="G62" i="1" s="1"/>
  <c r="F63" i="1"/>
  <c r="F62" i="1" s="1"/>
  <c r="H61" i="1"/>
  <c r="H60" i="1" s="1"/>
  <c r="G61" i="1"/>
  <c r="G60" i="1" s="1"/>
  <c r="F61" i="1"/>
  <c r="F60" i="1" s="1"/>
  <c r="H54" i="1"/>
  <c r="H53" i="1" s="1"/>
  <c r="H52" i="1" s="1"/>
  <c r="H51" i="1" s="1"/>
  <c r="H50" i="1" s="1"/>
  <c r="G54" i="1"/>
  <c r="G53" i="1" s="1"/>
  <c r="G52" i="1" s="1"/>
  <c r="G51" i="1" s="1"/>
  <c r="G50" i="1" s="1"/>
  <c r="F54" i="1"/>
  <c r="F53" i="1" s="1"/>
  <c r="F52" i="1" s="1"/>
  <c r="F51" i="1" s="1"/>
  <c r="F50" i="1" s="1"/>
  <c r="H48" i="1"/>
  <c r="G48" i="1"/>
  <c r="F48" i="1"/>
  <c r="H46" i="1"/>
  <c r="G46" i="1"/>
  <c r="F46" i="1"/>
  <c r="H44" i="1"/>
  <c r="G44" i="1"/>
  <c r="F44" i="1"/>
  <c r="H38" i="1"/>
  <c r="H37" i="1" s="1"/>
  <c r="G38" i="1"/>
  <c r="G37" i="1" s="1"/>
  <c r="F38" i="1"/>
  <c r="F37" i="1" s="1"/>
  <c r="H35" i="1"/>
  <c r="G35" i="1"/>
  <c r="F35" i="1"/>
  <c r="H33" i="1"/>
  <c r="G33" i="1"/>
  <c r="F33" i="1"/>
  <c r="H31" i="1"/>
  <c r="G31" i="1"/>
  <c r="F31" i="1"/>
  <c r="H29" i="1"/>
  <c r="G29" i="1"/>
  <c r="F29" i="1"/>
  <c r="H23" i="1"/>
  <c r="H22" i="1" s="1"/>
  <c r="H21" i="1" s="1"/>
  <c r="H19" i="1" s="1"/>
  <c r="G23" i="1"/>
  <c r="G22" i="1" s="1"/>
  <c r="G21" i="1" s="1"/>
  <c r="G20" i="1" s="1"/>
  <c r="F23" i="1"/>
  <c r="F22" i="1" s="1"/>
  <c r="F21" i="1" s="1"/>
  <c r="G286" i="1" l="1"/>
  <c r="G593" i="1"/>
  <c r="F407" i="1"/>
  <c r="G229" i="1"/>
  <c r="H677" i="1"/>
  <c r="H676" i="1" s="1"/>
  <c r="H675" i="1" s="1"/>
  <c r="H668" i="1" s="1"/>
  <c r="F286" i="1"/>
  <c r="F285" i="1" s="1"/>
  <c r="F284" i="1" s="1"/>
  <c r="F393" i="1"/>
  <c r="F392" i="1" s="1"/>
  <c r="F391" i="1" s="1"/>
  <c r="H593" i="1"/>
  <c r="H286" i="1"/>
  <c r="H285" i="1" s="1"/>
  <c r="H284" i="1" s="1"/>
  <c r="F593" i="1"/>
  <c r="H485" i="1"/>
  <c r="H484" i="1" s="1"/>
  <c r="H483" i="1" s="1"/>
  <c r="G492" i="1"/>
  <c r="G491" i="1" s="1"/>
  <c r="G490" i="1" s="1"/>
  <c r="F677" i="1"/>
  <c r="F676" i="1" s="1"/>
  <c r="F675" i="1" s="1"/>
  <c r="F668" i="1" s="1"/>
  <c r="H218" i="1"/>
  <c r="H217" i="1" s="1"/>
  <c r="H216" i="1" s="1"/>
  <c r="H215" i="1" s="1"/>
  <c r="H352" i="1"/>
  <c r="H351" i="1" s="1"/>
  <c r="F298" i="1"/>
  <c r="F297" i="1" s="1"/>
  <c r="F296" i="1" s="1"/>
  <c r="G677" i="1"/>
  <c r="G676" i="1" s="1"/>
  <c r="G675" i="1" s="1"/>
  <c r="G668" i="1" s="1"/>
  <c r="F352" i="1"/>
  <c r="F351" i="1" s="1"/>
  <c r="H344" i="1"/>
  <c r="H343" i="1" s="1"/>
  <c r="G344" i="1"/>
  <c r="G343" i="1" s="1"/>
  <c r="F269" i="1"/>
  <c r="F268" i="1" s="1"/>
  <c r="H278" i="1"/>
  <c r="H277" i="1" s="1"/>
  <c r="H276" i="1" s="1"/>
  <c r="H298" i="1"/>
  <c r="H297" i="1" s="1"/>
  <c r="H296" i="1" s="1"/>
  <c r="F344" i="1"/>
  <c r="F343" i="1" s="1"/>
  <c r="H242" i="1"/>
  <c r="H241" i="1" s="1"/>
  <c r="H240" i="1" s="1"/>
  <c r="G298" i="1"/>
  <c r="G297" i="1" s="1"/>
  <c r="G296" i="1" s="1"/>
  <c r="H632" i="1"/>
  <c r="H631" i="1" s="1"/>
  <c r="H630" i="1" s="1"/>
  <c r="H619" i="1" s="1"/>
  <c r="G660" i="1"/>
  <c r="G659" i="1" s="1"/>
  <c r="G658" i="1" s="1"/>
  <c r="G352" i="1"/>
  <c r="G351" i="1" s="1"/>
  <c r="F189" i="1"/>
  <c r="H368" i="1"/>
  <c r="H367" i="1" s="1"/>
  <c r="H366" i="1" s="1"/>
  <c r="F492" i="1"/>
  <c r="F491" i="1" s="1"/>
  <c r="F490" i="1" s="1"/>
  <c r="F94" i="1"/>
  <c r="F93" i="1" s="1"/>
  <c r="F92" i="1" s="1"/>
  <c r="G452" i="1"/>
  <c r="G448" i="1" s="1"/>
  <c r="G447" i="1" s="1"/>
  <c r="G446" i="1" s="1"/>
  <c r="F470" i="1"/>
  <c r="F469" i="1" s="1"/>
  <c r="F468" i="1" s="1"/>
  <c r="H478" i="1"/>
  <c r="H477" i="1" s="1"/>
  <c r="H476" i="1" s="1"/>
  <c r="H508" i="1"/>
  <c r="H504" i="1" s="1"/>
  <c r="F521" i="1"/>
  <c r="F520" i="1" s="1"/>
  <c r="F519" i="1" s="1"/>
  <c r="G521" i="1"/>
  <c r="G520" i="1" s="1"/>
  <c r="G519" i="1" s="1"/>
  <c r="H660" i="1"/>
  <c r="H659" i="1" s="1"/>
  <c r="H658" i="1" s="1"/>
  <c r="G189" i="1"/>
  <c r="G59" i="1"/>
  <c r="G58" i="1" s="1"/>
  <c r="G57" i="1" s="1"/>
  <c r="G56" i="1" s="1"/>
  <c r="H229" i="1"/>
  <c r="H269" i="1"/>
  <c r="H268" i="1" s="1"/>
  <c r="H28" i="1"/>
  <c r="H27" i="1" s="1"/>
  <c r="H26" i="1" s="1"/>
  <c r="H25" i="1" s="1"/>
  <c r="G478" i="1"/>
  <c r="G477" i="1" s="1"/>
  <c r="G476" i="1" s="1"/>
  <c r="H550" i="1"/>
  <c r="F579" i="1"/>
  <c r="F578" i="1" s="1"/>
  <c r="F577" i="1" s="1"/>
  <c r="F576" i="1" s="1"/>
  <c r="F575" i="1" s="1"/>
  <c r="G632" i="1"/>
  <c r="G631" i="1" s="1"/>
  <c r="G630" i="1" s="1"/>
  <c r="G619" i="1" s="1"/>
  <c r="F632" i="1"/>
  <c r="F631" i="1" s="1"/>
  <c r="F630" i="1" s="1"/>
  <c r="F619" i="1" s="1"/>
  <c r="G649" i="1"/>
  <c r="G648" i="1" s="1"/>
  <c r="G28" i="1"/>
  <c r="G27" i="1" s="1"/>
  <c r="G26" i="1" s="1"/>
  <c r="G25" i="1" s="1"/>
  <c r="G102" i="1"/>
  <c r="G101" i="1" s="1"/>
  <c r="F43" i="1"/>
  <c r="F42" i="1" s="1"/>
  <c r="F41" i="1" s="1"/>
  <c r="F40" i="1" s="1"/>
  <c r="H127" i="1"/>
  <c r="H126" i="1" s="1"/>
  <c r="H113" i="1" s="1"/>
  <c r="H112" i="1" s="1"/>
  <c r="G161" i="1"/>
  <c r="G160" i="1" s="1"/>
  <c r="G159" i="1" s="1"/>
  <c r="G278" i="1"/>
  <c r="G277" i="1" s="1"/>
  <c r="G276" i="1" s="1"/>
  <c r="F508" i="1"/>
  <c r="F504" i="1" s="1"/>
  <c r="G94" i="1"/>
  <c r="G93" i="1" s="1"/>
  <c r="G92" i="1" s="1"/>
  <c r="H189" i="1"/>
  <c r="F197" i="1"/>
  <c r="G218" i="1"/>
  <c r="G217" i="1" s="1"/>
  <c r="G216" i="1" s="1"/>
  <c r="G215" i="1" s="1"/>
  <c r="F229" i="1"/>
  <c r="F278" i="1"/>
  <c r="F277" i="1" s="1"/>
  <c r="F276" i="1" s="1"/>
  <c r="G285" i="1"/>
  <c r="G284" i="1" s="1"/>
  <c r="H407" i="1"/>
  <c r="H393" i="1" s="1"/>
  <c r="H470" i="1"/>
  <c r="H469" i="1" s="1"/>
  <c r="H468" i="1" s="1"/>
  <c r="G579" i="1"/>
  <c r="G578" i="1" s="1"/>
  <c r="G577" i="1" s="1"/>
  <c r="G576" i="1" s="1"/>
  <c r="G575" i="1" s="1"/>
  <c r="H102" i="1"/>
  <c r="H101" i="1" s="1"/>
  <c r="F242" i="1"/>
  <c r="F241" i="1" s="1"/>
  <c r="F240" i="1" s="1"/>
  <c r="G19" i="1"/>
  <c r="F127" i="1"/>
  <c r="F126" i="1" s="1"/>
  <c r="F113" i="1" s="1"/>
  <c r="F112" i="1" s="1"/>
  <c r="G251" i="1"/>
  <c r="G250" i="1" s="1"/>
  <c r="G249" i="1" s="1"/>
  <c r="H251" i="1"/>
  <c r="H250" i="1" s="1"/>
  <c r="H249" i="1" s="1"/>
  <c r="G330" i="1"/>
  <c r="G329" i="1" s="1"/>
  <c r="H330" i="1"/>
  <c r="H329" i="1" s="1"/>
  <c r="G368" i="1"/>
  <c r="G367" i="1" s="1"/>
  <c r="G366" i="1" s="1"/>
  <c r="G550" i="1"/>
  <c r="F557" i="1"/>
  <c r="H557" i="1"/>
  <c r="F649" i="1"/>
  <c r="F648" i="1" s="1"/>
  <c r="H94" i="1"/>
  <c r="H93" i="1" s="1"/>
  <c r="H92" i="1" s="1"/>
  <c r="F102" i="1"/>
  <c r="F101" i="1" s="1"/>
  <c r="G197" i="1"/>
  <c r="H197" i="1"/>
  <c r="H492" i="1"/>
  <c r="H491" i="1" s="1"/>
  <c r="H490" i="1" s="1"/>
  <c r="H543" i="1"/>
  <c r="F660" i="1"/>
  <c r="F659" i="1" s="1"/>
  <c r="F658" i="1" s="1"/>
  <c r="G43" i="1"/>
  <c r="G42" i="1" s="1"/>
  <c r="G41" i="1" s="1"/>
  <c r="G40" i="1" s="1"/>
  <c r="H43" i="1"/>
  <c r="H42" i="1" s="1"/>
  <c r="H41" i="1" s="1"/>
  <c r="H40" i="1" s="1"/>
  <c r="F59" i="1"/>
  <c r="F58" i="1" s="1"/>
  <c r="F57" i="1" s="1"/>
  <c r="F56" i="1" s="1"/>
  <c r="G127" i="1"/>
  <c r="G126" i="1" s="1"/>
  <c r="G113" i="1" s="1"/>
  <c r="G112" i="1" s="1"/>
  <c r="F161" i="1"/>
  <c r="F160" i="1" s="1"/>
  <c r="F159" i="1" s="1"/>
  <c r="G407" i="1"/>
  <c r="G393" i="1" s="1"/>
  <c r="F452" i="1"/>
  <c r="F448" i="1" s="1"/>
  <c r="F447" i="1" s="1"/>
  <c r="F446" i="1" s="1"/>
  <c r="H452" i="1"/>
  <c r="H448" i="1" s="1"/>
  <c r="H447" i="1" s="1"/>
  <c r="H446" i="1" s="1"/>
  <c r="F485" i="1"/>
  <c r="F484" i="1" s="1"/>
  <c r="F483" i="1" s="1"/>
  <c r="G543" i="1"/>
  <c r="F368" i="1"/>
  <c r="F367" i="1" s="1"/>
  <c r="F366" i="1" s="1"/>
  <c r="G269" i="1"/>
  <c r="G268" i="1" s="1"/>
  <c r="F20" i="1"/>
  <c r="F19" i="1"/>
  <c r="F251" i="1"/>
  <c r="F250" i="1" s="1"/>
  <c r="F249" i="1" s="1"/>
  <c r="H59" i="1"/>
  <c r="H58" i="1" s="1"/>
  <c r="H57" i="1" s="1"/>
  <c r="H56" i="1" s="1"/>
  <c r="G242" i="1"/>
  <c r="G241" i="1" s="1"/>
  <c r="G240" i="1" s="1"/>
  <c r="F330" i="1"/>
  <c r="F329" i="1" s="1"/>
  <c r="F543" i="1"/>
  <c r="H20" i="1"/>
  <c r="F28" i="1"/>
  <c r="F27" i="1" s="1"/>
  <c r="F26" i="1" s="1"/>
  <c r="F25" i="1" s="1"/>
  <c r="G470" i="1"/>
  <c r="G469" i="1" s="1"/>
  <c r="G468" i="1" s="1"/>
  <c r="G508" i="1"/>
  <c r="G504" i="1" s="1"/>
  <c r="H521" i="1"/>
  <c r="H520" i="1" s="1"/>
  <c r="H519" i="1" s="1"/>
  <c r="F550" i="1"/>
  <c r="H579" i="1"/>
  <c r="H578" i="1" s="1"/>
  <c r="H577" i="1" s="1"/>
  <c r="H576" i="1" s="1"/>
  <c r="H575" i="1" s="1"/>
  <c r="H649" i="1"/>
  <c r="H648" i="1" s="1"/>
  <c r="H161" i="1"/>
  <c r="H160" i="1" s="1"/>
  <c r="H159" i="1" s="1"/>
  <c r="F218" i="1"/>
  <c r="F217" i="1" s="1"/>
  <c r="F216" i="1" s="1"/>
  <c r="F215" i="1" s="1"/>
  <c r="F478" i="1"/>
  <c r="F477" i="1" s="1"/>
  <c r="F476" i="1" s="1"/>
  <c r="G485" i="1"/>
  <c r="G484" i="1" s="1"/>
  <c r="G483" i="1" s="1"/>
  <c r="G557" i="1"/>
  <c r="G18" i="1" l="1"/>
  <c r="F18" i="1"/>
  <c r="F503" i="1"/>
  <c r="F502" i="1" s="1"/>
  <c r="H267" i="1"/>
  <c r="H228" i="1" s="1"/>
  <c r="F169" i="1"/>
  <c r="F168" i="1" s="1"/>
  <c r="F81" i="1" s="1"/>
  <c r="F267" i="1"/>
  <c r="F228" i="1" s="1"/>
  <c r="H169" i="1"/>
  <c r="G169" i="1"/>
  <c r="G168" i="1" s="1"/>
  <c r="G81" i="1" s="1"/>
  <c r="H647" i="1"/>
  <c r="H586" i="1" s="1"/>
  <c r="H475" i="1"/>
  <c r="H168" i="1"/>
  <c r="H81" i="1" s="1"/>
  <c r="H18" i="1" s="1"/>
  <c r="G503" i="1"/>
  <c r="G502" i="1" s="1"/>
  <c r="G647" i="1"/>
  <c r="G586" i="1" s="1"/>
  <c r="H445" i="1"/>
  <c r="H503" i="1"/>
  <c r="H502" i="1" s="1"/>
  <c r="G323" i="1"/>
  <c r="G283" i="1" s="1"/>
  <c r="H392" i="1"/>
  <c r="H391" i="1" s="1"/>
  <c r="G445" i="1"/>
  <c r="F323" i="1"/>
  <c r="F283" i="1" s="1"/>
  <c r="G392" i="1"/>
  <c r="G391" i="1" s="1"/>
  <c r="H323" i="1"/>
  <c r="H283" i="1" s="1"/>
  <c r="F445" i="1"/>
  <c r="H542" i="1"/>
  <c r="H541" i="1" s="1"/>
  <c r="H540" i="1" s="1"/>
  <c r="H539" i="1" s="1"/>
  <c r="H538" i="1" s="1"/>
  <c r="F475" i="1"/>
  <c r="G542" i="1"/>
  <c r="G541" i="1" s="1"/>
  <c r="G540" i="1" s="1"/>
  <c r="G539" i="1" s="1"/>
  <c r="G538" i="1" s="1"/>
  <c r="G475" i="1"/>
  <c r="G267" i="1"/>
  <c r="G228" i="1" s="1"/>
  <c r="F647" i="1"/>
  <c r="F586" i="1" s="1"/>
  <c r="F542" i="1"/>
  <c r="F541" i="1" s="1"/>
  <c r="F540" i="1" s="1"/>
  <c r="F539" i="1" s="1"/>
  <c r="F538" i="1" s="1"/>
  <c r="F365" i="1" l="1"/>
  <c r="F700" i="1" s="1"/>
  <c r="G365" i="1"/>
  <c r="G700" i="1" s="1"/>
  <c r="H365" i="1"/>
  <c r="H700" i="1" s="1"/>
</calcChain>
</file>

<file path=xl/sharedStrings.xml><?xml version="1.0" encoding="utf-8"?>
<sst xmlns="http://schemas.openxmlformats.org/spreadsheetml/2006/main" count="3433" uniqueCount="512">
  <si>
    <t>Приложение 3</t>
  </si>
  <si>
    <t>к муниципальному правовому акту</t>
  </si>
  <si>
    <t>Партизанского муниципального округа</t>
  </si>
  <si>
    <t>от 19.12.2024  № 274 - МПА</t>
  </si>
  <si>
    <t>Распределение</t>
  </si>
  <si>
    <t>бюджетных ассигнований из бюджета Партизанского муниципального округа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 и плановый период 2026 и 2027 годов</t>
  </si>
  <si>
    <t>(рублей)</t>
  </si>
  <si>
    <t>Наименование</t>
  </si>
  <si>
    <t>Раз-дел</t>
  </si>
  <si>
    <t>Под-раздел</t>
  </si>
  <si>
    <t>Целевая статья</t>
  </si>
  <si>
    <t>Вид расхо-дов</t>
  </si>
  <si>
    <t xml:space="preserve">Сумма </t>
  </si>
  <si>
    <t>2025 год</t>
  </si>
  <si>
    <t>2026 год</t>
  </si>
  <si>
    <t>2027 год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</si>
  <si>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</si>
  <si>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</si>
  <si>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</si>
  <si>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</si>
  <si>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</si>
  <si>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</si>
  <si>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</si>
  <si>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</si>
  <si>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</si>
  <si>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</si>
  <si>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</si>
  <si>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Партизанского муниципального округа</t>
  </si>
  <si>
    <t>9999910010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</si>
  <si>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</si>
  <si>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</si>
  <si>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выплаты персоналу государственных (муниципальных) органов 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</si>
  <si>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</si>
  <si>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</si>
  <si>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</si>
  <si>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 Партизанского муниципального округа</t>
  </si>
  <si>
    <t>9999910020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</si>
  <si>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</si>
  <si>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</si>
  <si>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</si>
  <si>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</si>
  <si>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Социальное обеспечение и иные выплаты населению</t>
  </si>
  <si>
    <t>300</t>
  </si>
  <si>
    <t>Премии и гранты</t>
  </si>
  <si>
    <t>350</t>
  </si>
  <si>
    <t>Иные бюджетные ассигнования</t>
  </si>
  <si>
    <t>800</t>
  </si>
  <si>
    <t>Уплата налогов, сборов и иных платежей</t>
  </si>
  <si>
    <t>850</t>
  </si>
  <si>
    <t>Председатель представительного органа муниципального образования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</si>
  <si>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</si>
  <si>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</si>
  <si>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</si>
  <si>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</si>
  <si>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</si>
  <si>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</si>
  <si>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9999951200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</si>
  <si>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</si>
  <si>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</si>
  <si>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Председатель ревизионной комиссии Партизанского муниципального округа</t>
  </si>
  <si>
    <t>9999910040</t>
  </si>
  <si>
    <t>Резервные фонды</t>
  </si>
  <si>
    <t>11</t>
  </si>
  <si>
    <t>Резервный фонд администрации Партизанского муниципального округа</t>
  </si>
  <si>
    <t>9999920110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</si>
  <si>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</si>
  <si>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</si>
  <si>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</si>
  <si>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</si>
  <si>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"Развитие муниципальной службы в администрации Партизанского муниципального округа Приморского края на 2022-2026 годы"</t>
  </si>
  <si>
    <t>0100000000</t>
  </si>
  <si>
    <t>Мероприятия муниципальной программы  "Развитие муниципальной службы в администрации Партизанского муниципального округа Приморского края на 2022-2026 годы"</t>
  </si>
  <si>
    <t>0190000000</t>
  </si>
  <si>
    <t>Мероприятия по повышению квалификации, профессиональной подготовки, обучению и диспансеризации муниципальных служащих</t>
  </si>
  <si>
    <t>0190120160</t>
  </si>
  <si>
    <t>Муниципальная программа "Социальная поддержка населения Партизанского муниципального округа Приморского края" на 2021-2025 годы</t>
  </si>
  <si>
    <t>0500000000</t>
  </si>
  <si>
    <t>Мероприятия муниципальной программы "Социальная поддержка населения Партизанского муниципального округа Приморского края" на 2021-2025 годы</t>
  </si>
  <si>
    <t>0590000000</t>
  </si>
  <si>
    <t>Проведение социально значимых мероприятий</t>
  </si>
  <si>
    <t>0590320200</t>
  </si>
  <si>
    <t>Иные закупки товаров, работ и услуг для обеспечения государственных (муниципальных) нужд</t>
  </si>
  <si>
    <t>Муниципальная программа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</si>
  <si>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0600000000</t>
  </si>
  <si>
    <t>Мероприятия муниципальной программы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</si>
  <si>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0690000000</t>
  </si>
  <si>
    <t>Материально-техническое обеспечение деятельности учреждения</t>
  </si>
  <si>
    <t>0690140050</t>
  </si>
  <si>
    <t>Расходы на выплаты персоналу казенных учреждений</t>
  </si>
  <si>
    <t>110</t>
  </si>
  <si>
    <t>Муниципальная программа "Информационное общество Партизанского муниципального округа" на 2021-2026 годы</t>
  </si>
  <si>
    <t>0700000000</t>
  </si>
  <si>
    <t>Мероприятия муниципальной программы "Информационное общество Партизанского муниципального округа" на 2021-2026 годы</t>
  </si>
  <si>
    <t>0790000000</t>
  </si>
  <si>
    <t>Информационно-разяснительные мероприятия</t>
  </si>
  <si>
    <t>0790120370</t>
  </si>
  <si>
    <t>Мероприятия по развитию информационной системы, информационных сервисов и системы межведомственного электронного взаимодействия</t>
  </si>
  <si>
    <t>0790220240</t>
  </si>
  <si>
    <t>Оказание содействия в подготовке проведения выборов</t>
  </si>
  <si>
    <t>0790320410</t>
  </si>
  <si>
    <t>Муниципальная программа "Экономическое развитие Партизанского муниципального округа на 2021-2025 годы"</t>
  </si>
  <si>
    <t>0900000000</t>
  </si>
  <si>
    <t>Мероприятия муниципальной программы "Экономическое развитие Партизанского муниципального округа на 2021-2025 годы"</t>
  </si>
  <si>
    <t>0990000000</t>
  </si>
  <si>
    <t>Мероприятия по оценке недвижимости, признании прав в отношении муниципального имущества, обеспечение приватизации и проведение предпродажной подготовки объектов приватизации</t>
  </si>
  <si>
    <t>0990120010</t>
  </si>
  <si>
    <t>Содержание недвижимого имущества, находящегося в муниципальной казне</t>
  </si>
  <si>
    <t>0990120470</t>
  </si>
  <si>
    <t>Уплата налогов за муниципальное имущество</t>
  </si>
  <si>
    <t>0990120500</t>
  </si>
  <si>
    <t>Содержание и обслуживание движимого имущества</t>
  </si>
  <si>
    <t>0990120580</t>
  </si>
  <si>
    <t>Расходы на обеспечение деятельности (оказание услуг, выполнение работ) муниципальных учреждений</t>
  </si>
  <si>
    <t>0990140000</t>
  </si>
  <si>
    <t>Мероприятия по управлению муниципальной собственностью</t>
  </si>
  <si>
    <t>0990140010</t>
  </si>
  <si>
    <t>Муниципальная программа "Противодействие коррупции в Партизанском муниципальном округе на 2024-2026 годы"</t>
  </si>
  <si>
    <t>1000000000</t>
  </si>
  <si>
    <t>Мероприятия муниципальной программы "Противодействие коррупции в Партизанском муниципальном округе на 2024-2026 годы"</t>
  </si>
  <si>
    <t>1090000000</t>
  </si>
  <si>
    <t>Мероприятия по противодействию коррупции в Партизанском муниципальном округе</t>
  </si>
  <si>
    <t>1090120180</t>
  </si>
  <si>
    <t>Муниципальная программа "Улучшение условий труда в муниципальных учреждениях Партизанского муниципального округа на 2022-2026 годы"</t>
  </si>
  <si>
    <t>1100000000</t>
  </si>
  <si>
    <t>Мероприятия муниципальной программы "Улучшение условий труда в муниципальных учреждениях Партизанского муниципального округа на 2022-2026 годы"</t>
  </si>
  <si>
    <t>1190000000</t>
  </si>
  <si>
    <t>Мероприятия по улучшению условий труда в муниципальных учреждениях Партизанского муниципального округа</t>
  </si>
  <si>
    <t>1190120190</t>
  </si>
  <si>
    <t>Муниципальная программа "Развитие архивного дела в Партизанском муниципальном округе" на 2024-2028 годы</t>
  </si>
  <si>
    <t>1500000000</t>
  </si>
  <si>
    <t>Мероприятия муниципальной программы "Развитие архивного дела в Партизанском муниципальном округе" на 2024-2028 годы</t>
  </si>
  <si>
    <t>1590000000</t>
  </si>
  <si>
    <t>Проведение мероприятий по приобретению и установки материально-технических средств, проведение мероприятий архивной службы Партизанского муниципального округа</t>
  </si>
  <si>
    <t>1590120090</t>
  </si>
  <si>
    <t>Муниципальная программа «Укрепление общественного здоровья населения Партизанского муниципального округа» на 2025-2027 годы</t>
  </si>
  <si>
    <t>2900000000</t>
  </si>
  <si>
    <t>Мероприятия муниципальной программы «Укрепление общественного здоровья населения Партизанского муниципального округа» на 2025-2027 годы</t>
  </si>
  <si>
    <t>2990000000</t>
  </si>
  <si>
    <t>Содействие в организации работы выездной бригады специалистов для проведения профилактических и медицинских осмотров на территории Партизанского муниципального округа</t>
  </si>
  <si>
    <t>2990120570</t>
  </si>
  <si>
    <t>Муниципальная программа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 на 2023-2027 годы</t>
  </si>
  <si>
    <t>3000000000</t>
  </si>
  <si>
    <t>Мероприятия муниципальной программы 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округе" на 2023-2027 годы</t>
  </si>
  <si>
    <t>3090000000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</si>
  <si>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</si>
  <si>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3090193210</t>
  </si>
  <si>
    <t>Муниципальная программа "Территория комфорта на 2024 - 2028 годы"</t>
  </si>
  <si>
    <t>3300000000</t>
  </si>
  <si>
    <t>Мероприятия муниципальной программы "Территория комфорта на 2024 - 2028 годы"</t>
  </si>
  <si>
    <t>3390000000</t>
  </si>
  <si>
    <t>3390140050</t>
  </si>
  <si>
    <t>Мероприятия, проводимые администрацией Партизанского муниципального округа</t>
  </si>
  <si>
    <t>9999920100</t>
  </si>
  <si>
    <t>Осуществление переданных полномочий Российской Федерации на государственную регистрацию актов гражданского состояния</t>
  </si>
  <si>
    <t>9999959300</t>
  </si>
  <si>
    <t>Создание и обеспечение деятельности комиссий по делам несовершеннолетних и защите их прав</t>
  </si>
  <si>
    <t>9999993010</t>
  </si>
  <si>
    <t>Реализация отдельных государственных полномочий по созданию административных комиссий</t>
  </si>
  <si>
    <t>9999993030</t>
  </si>
  <si>
    <t>Осуществление отдельных государственных полномочий по государственному управлению охраной труда</t>
  </si>
  <si>
    <t>9999993100</t>
  </si>
  <si>
    <t>Реализация государственного полномочия в сфере транспортного обслуживания по муниципальным маршрутам в границах муниципальных образований</t>
  </si>
  <si>
    <t>9999993130</t>
  </si>
  <si>
    <t>Осуществление государственных полномочий органов опеки и попечительства в отношении несовершеннолетних</t>
  </si>
  <si>
    <t>9999993160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</si>
  <si>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</si>
  <si>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9999993180
</t>
  </si>
  <si>
    <t>НАЦИОНАЛЬНАЯ ОБОРОНА</t>
  </si>
  <si>
    <t>Мобилизационная и вневойсковая подготовка</t>
  </si>
  <si>
    <t>Непрограммные мероприятия</t>
  </si>
  <si>
    <t>9999900000</t>
  </si>
  <si>
    <t>Осуществление первичного воинского учета на территориях, где отсутствуют военные комиссариаты</t>
  </si>
  <si>
    <t>9999951180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</si>
  <si>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</si>
  <si>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</si>
  <si>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</si>
  <si>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Мероприятия по предупреждению и ликвидации последствий чрезвычайных ситуаций и стихийных бедствий </t>
  </si>
  <si>
    <t>0690120020</t>
  </si>
  <si>
    <t>Мероприятия в области использования и охраны водных объектов</t>
  </si>
  <si>
    <t>06901S2130</t>
  </si>
  <si>
    <t>Создание условий для организации добровольной пожарной охраны, в рамках обеспечения органами местного самоуправления первичных мер пожарной безопасности</t>
  </si>
  <si>
    <t>06901S2660</t>
  </si>
  <si>
    <t>НАЦИОНАЛЬНАЯ ЭКОНОМИКА</t>
  </si>
  <si>
    <t>Сельское хозяйство и рыболовство</t>
  </si>
  <si>
    <t>Муниципальная программа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</si>
  <si>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3400000000</t>
  </si>
  <si>
    <t>Мероприятия муниципальной программы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</si>
  <si>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3490100000</t>
  </si>
  <si>
    <t>Мероприятия, связанные со стимулированием перевода биологически незащищенных свиноводческих хозяйств на альтернативное животноводство</t>
  </si>
  <si>
    <t>3490120590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</si>
  <si>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</si>
  <si>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</si>
  <si>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</si>
  <si>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9999993040</t>
  </si>
  <si>
    <t>Транспорт</t>
  </si>
  <si>
    <t>08</t>
  </si>
  <si>
    <t>Муниципальная программа "Развитие транспортного комплекса Партизанского муниципального округа" на 2021-2025 годы</t>
  </si>
  <si>
    <t>0800000000</t>
  </si>
  <si>
    <t>Подпрограмма "Развитие транспортного комплекса в Партизанском муниципальном округе на 2021-2025 годы"</t>
  </si>
  <si>
    <t>0810000000</t>
  </si>
  <si>
    <t xml:space="preserve">Осуществление регулярных пассажирских перевозок автомобильным транспортом по регулируемым тарифам </t>
  </si>
  <si>
    <t>0810160030</t>
  </si>
  <si>
    <t>Приобретение подвижного состава пассажирского транспорта общего пользования</t>
  </si>
  <si>
    <t>08101S2770</t>
  </si>
  <si>
    <t>Дорожное хозяйство (дорожные фонды)</t>
  </si>
  <si>
    <t>09</t>
  </si>
  <si>
    <t>Подпрограмма "Развитие дорожной отрасли в Партизанском муниципальном округе" на 2021-2025 годы</t>
  </si>
  <si>
    <t>0820000000</t>
  </si>
  <si>
    <t>Содержание автомобильных дорог на территории Партизанского муниципального округа</t>
  </si>
  <si>
    <t>082019Д030</t>
  </si>
  <si>
    <t>Ремонт автомобильных дорог на территории Партизанского муниципального округа</t>
  </si>
  <si>
    <t>082019Д040</t>
  </si>
  <si>
    <t>Проектирование и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 имеющих двух детей, а также молодым семьям</t>
  </si>
  <si>
    <t>082019Д080</t>
  </si>
  <si>
    <t>Закупка товаров, работ и услуг для обеспечения
государственных (муниципальных) нужд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</si>
  <si>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</si>
  <si>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</si>
  <si>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</si>
  <si>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0990120060</t>
  </si>
  <si>
    <t>Подготовка проектов межевания земель и на проведение кадастровых работ</t>
  </si>
  <si>
    <t>09901L5990</t>
  </si>
  <si>
    <t>Муниципальная программа "Развитие малого и среднего предпринимательства в Партизанском муниципальном округе" на 2022-2027 годы</t>
  </si>
  <si>
    <t>1700000000</t>
  </si>
  <si>
    <t>Мероприятия муниципальной программы "Развитие малого и среднего предпринимательства в Партизанском муниципальном округе" на 2022-2027 годы</t>
  </si>
  <si>
    <t>1790000000</t>
  </si>
  <si>
    <t>Организация и проведение мероприятий связанных с предпринимательской деятельностью</t>
  </si>
  <si>
    <t>1790120170</t>
  </si>
  <si>
    <t>ЖИЛИЩНО-КОММУНАЛЬНОЕ ХОЗЯЙСТВО</t>
  </si>
  <si>
    <t>Жилищное хозяйство</t>
  </si>
  <si>
    <t>Муниципальная программа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</si>
  <si>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2500000000</t>
  </si>
  <si>
    <t>Мероприятия муниципальной программы 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</si>
  <si>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2590000000</t>
  </si>
  <si>
    <t>Мероприятия по капитальному ремонту помещений муниципальной собственности</t>
  </si>
  <si>
    <t>2590120150</t>
  </si>
  <si>
    <t>Проведение работ по формированию и проведению государственного кадастрового учета земельных участков, на которых расположены аварийные многоквартирные дома, снос аварийных жилых домов</t>
  </si>
  <si>
    <t>2590220280</t>
  </si>
  <si>
    <t>Коммунальное хозяйство</t>
  </si>
  <si>
    <t>Муниципальная программа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</si>
  <si>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1800000000</t>
  </si>
  <si>
    <t>Мероприятия муниципальной программы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</si>
  <si>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1890000000</t>
  </si>
  <si>
    <t>Ремонт сетей водоснабжения, водоотведения</t>
  </si>
  <si>
    <t>1890170020</t>
  </si>
  <si>
    <t>Проектирование и (или) строительство, реконструкция (модернизация), капитальный ремонт объектов водопроводно-канализационного хозяйства</t>
  </si>
  <si>
    <t>18901S2320</t>
  </si>
  <si>
    <t xml:space="preserve">Ремонт сетей и объектов теплоснабжения </t>
  </si>
  <si>
    <t>1890270050</t>
  </si>
  <si>
    <t>Ремонт, капитальный ремонт линий электропередач</t>
  </si>
  <si>
    <t>1890370190</t>
  </si>
  <si>
    <t xml:space="preserve">Обеспечение граждан твердым топливом (дровами) </t>
  </si>
  <si>
    <t>1890720400</t>
  </si>
  <si>
    <t xml:space="preserve">Обеспечение граждан твердым топливом </t>
  </si>
  <si>
    <t>18907S2620</t>
  </si>
  <si>
    <t>Обеспечение инфраструктурой земельных участков, предоставленных (предоставляемых) на бесплатной основе гражданам, имеющим трех и более детей</t>
  </si>
  <si>
    <t>1890820520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</si>
  <si>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</si>
  <si>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</si>
  <si>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</si>
  <si>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</si>
  <si>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Благоустройство</t>
  </si>
  <si>
    <t xml:space="preserve">Муниципальная программа "Развитие культуры Партизанского муниципального округа Приморского края" на 2021-2027 годы </t>
  </si>
  <si>
    <t>0300000000</t>
  </si>
  <si>
    <t xml:space="preserve">Мероприятия муниципальной программы "Развитие культуры Партизанского муниципального округа Приморского края" на 2021-2027 годы </t>
  </si>
  <si>
    <t>0390000000</t>
  </si>
  <si>
    <t>Создание, сохранение, использование и популяризация объектов культурного наследия (памятников истории и культуры)</t>
  </si>
  <si>
    <t>0390270160</t>
  </si>
  <si>
    <t>Содержание мест захоронения</t>
  </si>
  <si>
    <t>1890420290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</si>
  <si>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</si>
  <si>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18904S2170</t>
  </si>
  <si>
    <t>Ликвидация несанкционированных свалок</t>
  </si>
  <si>
    <t>1890520340</t>
  </si>
  <si>
    <t>Обеспечение мероприятий по обращению  твердыми коммунальными отходами</t>
  </si>
  <si>
    <t>1890520560</t>
  </si>
  <si>
    <t>Муниципальная программа "Формирование современной городской среды Партизанского муниципального округа" на 2024-2027 годы</t>
  </si>
  <si>
    <t>3100000000</t>
  </si>
  <si>
    <t>Подпрограмма "Формирование современной городской среды Партизанского муниципального округа" на 2024-2027 годы</t>
  </si>
  <si>
    <t>3110000000</t>
  </si>
  <si>
    <t>Поддержка муниципальных программ по благоустройству территорий муниципальных образований</t>
  </si>
  <si>
    <t>31101S2610</t>
  </si>
  <si>
    <t>Благоустройство территории</t>
  </si>
  <si>
    <t>3390120540</t>
  </si>
  <si>
    <t>Мероприятия по обеспечению уличного освещения</t>
  </si>
  <si>
    <t>3390120550</t>
  </si>
  <si>
    <t>Другие вопросы в области жилищно-коммунального хозяйства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</si>
  <si>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</si>
  <si>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</si>
  <si>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ОБРАЗОВАНИЕ</t>
  </si>
  <si>
    <t>07</t>
  </si>
  <si>
    <t>Дошкольное образование</t>
  </si>
  <si>
    <t xml:space="preserve">Муниципальная программа "Развитие образования Партизанского муниципального округа" на 2022-2027 годы </t>
  </si>
  <si>
    <t>0200000000</t>
  </si>
  <si>
    <t xml:space="preserve">Подпрограмма "Развитие системы дошкольного образования" </t>
  </si>
  <si>
    <t>0210000000</t>
  </si>
  <si>
    <t>0210140000</t>
  </si>
  <si>
    <t>Детские дошкольные учреждения</t>
  </si>
  <si>
    <t>0210142000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</si>
  <si>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</si>
  <si>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</si>
  <si>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</si>
  <si>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</si>
  <si>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</si>
  <si>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0210193070</t>
  </si>
  <si>
    <t xml:space="preserve">Подпрограмма «Совершенствование организации питания в образовательных учреждениях Партизанского муниципального округа» </t>
  </si>
  <si>
    <t>0250000000</t>
  </si>
  <si>
    <t>Основное мероприятие "Организация питания в образовательных учреждениях"</t>
  </si>
  <si>
    <t>0250100000</t>
  </si>
  <si>
    <t>Мероприятия по организации питания в образовательных учреждениях</t>
  </si>
  <si>
    <t>0250120440</t>
  </si>
  <si>
    <t xml:space="preserve">Муниципальная программа "Комплексная безопасность образовательных учреждений Партизанского муниципального округа" на 2022-2025 годы </t>
  </si>
  <si>
    <t>2300000000</t>
  </si>
  <si>
    <t xml:space="preserve">Мероприятия муниципальной программы "Комплексная безопасность образовательных учреждений Партизанского муниципального округа" на 2022-2025 годы </t>
  </si>
  <si>
    <t>2390000000</t>
  </si>
  <si>
    <t>Комплексная безопасность образовательных учреждений</t>
  </si>
  <si>
    <t>2390120270</t>
  </si>
  <si>
    <t>Общее образование</t>
  </si>
  <si>
    <t>Подпрограмма "Развитие системы общего образования"</t>
  </si>
  <si>
    <t>0220000000</t>
  </si>
  <si>
    <t>0220140000</t>
  </si>
  <si>
    <t>Школы - детские сады, школы начальные, неполные средние и средние</t>
  </si>
  <si>
    <t>0220142100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</si>
  <si>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</si>
  <si>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0220153030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</si>
  <si>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</si>
  <si>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0220193060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</si>
  <si>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</si>
  <si>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02201R3040</t>
  </si>
  <si>
    <t>Обеспечение бесплатным питанием детей, обучающихся в муниципальных образовательных организациях Приморского края</t>
  </si>
  <si>
    <t>0220293150</t>
  </si>
  <si>
    <t>Социальные выплаты гражданам, кроме публичных нормативных социальных выплат</t>
  </si>
  <si>
    <t>320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</si>
  <si>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</si>
  <si>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Дополнительное образование детей</t>
  </si>
  <si>
    <t>Подпрограмма "Развитие системы дополнительного образования, отдыха, оздоровления и занятости детей и подростков"</t>
  </si>
  <si>
    <t>0230000000</t>
  </si>
  <si>
    <t>0230140000</t>
  </si>
  <si>
    <t>Центр детского творчества</t>
  </si>
  <si>
    <t>0230142320</t>
  </si>
  <si>
    <t xml:space="preserve">Детский оздоровительно - образовательный центр "Юность" </t>
  </si>
  <si>
    <t>0230142330</t>
  </si>
  <si>
    <t>Мероприятия по обеспечению персонифицированного финансирования дополнительного образования детей</t>
  </si>
  <si>
    <t>0230420430</t>
  </si>
  <si>
    <t>Подпрограмма "Развитие системы дополнительного образования в области культуры Партизанского муниципального округа Приморского края"</t>
  </si>
  <si>
    <t>0310000000</t>
  </si>
  <si>
    <t>0310140000</t>
  </si>
  <si>
    <t>Детская школа искусств</t>
  </si>
  <si>
    <t>0310142310</t>
  </si>
  <si>
    <t>Молодежная политика</t>
  </si>
  <si>
    <t>Муниципальная программа "Реализация Стратегии государственной молодежной политики на территории Партизанского муниципального округа" на 2021-2025 годы</t>
  </si>
  <si>
    <t>1200000000</t>
  </si>
  <si>
    <t>Мероприятия муниципальной программы "Реализация Стратегии государственной молодежной политики на территории Партизанского муниципального округа" на 2021-2025 годы</t>
  </si>
  <si>
    <t>1290000000</t>
  </si>
  <si>
    <t>Проведение мероприятий для детей и молодежи</t>
  </si>
  <si>
    <t>1290120310</t>
  </si>
  <si>
    <t>Муниципальная программа "Патриотическое воспитание граждан Партизанского муниципального округа на 2021-2025 годы"</t>
  </si>
  <si>
    <t>1600000000</t>
  </si>
  <si>
    <t>Мероприятия муниципальной программы "Патриотическое воспитание граждан Партизанского муниципального округа на 2021-2025 годы"</t>
  </si>
  <si>
    <t>1690000000</t>
  </si>
  <si>
    <t>Организация и проведение мероприятий патриотической направленности</t>
  </si>
  <si>
    <t>1690120210</t>
  </si>
  <si>
    <t>Муниципальная программа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</si>
  <si>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2800000000</t>
  </si>
  <si>
    <t>Мероприятия муниципальной программы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</si>
  <si>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2890000000</t>
  </si>
  <si>
    <t xml:space="preserve">Мероприятия по профилактике терроризма и экстремизма, незаконного потребления наркотических средств и психотропных веществ, предупреждение безнадзорности, беспризорности и правонарушений среди несовершеннолетних </t>
  </si>
  <si>
    <t>2890120380</t>
  </si>
  <si>
    <t>Мероприятия по пропаганде здорового образа жизни</t>
  </si>
  <si>
    <t>2990120420</t>
  </si>
  <si>
    <t>Другие вопросы в области образования</t>
  </si>
  <si>
    <t xml:space="preserve">Организация и обеспечение оздоровления и отдыха детей </t>
  </si>
  <si>
    <t>0230220320</t>
  </si>
  <si>
    <t>Обеспечение оздоровления и отдыха детей Приморского края (за исключением организации отдыха детей в каникулярное время)</t>
  </si>
  <si>
    <t>0230293080</t>
  </si>
  <si>
    <t>Мероприятия по организации временного трудоустройства несовершеннолетних граждан в свободное от учебы время и в период летних каникул</t>
  </si>
  <si>
    <t>0230380170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</si>
  <si>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</si>
  <si>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0230394050</t>
  </si>
  <si>
    <t xml:space="preserve">Мероприятия муниципальной программы "Развитие образования Партизанского муниципального округа" на 2022-2027 годы </t>
  </si>
  <si>
    <t>0290000000</t>
  </si>
  <si>
    <t>0290140000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</si>
  <si>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</si>
  <si>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0290145200</t>
  </si>
  <si>
    <t>Подпрограмма "Организация трудоустройства детей и подростков в учреждениях культуры Партизанского муниципального округа Приморского края"</t>
  </si>
  <si>
    <t>0330000000</t>
  </si>
  <si>
    <t>0330180170</t>
  </si>
  <si>
    <t>Иные выплаты населению</t>
  </si>
  <si>
    <t>360</t>
  </si>
  <si>
    <t>КУЛЬТУРА, КИНЕМАТОГРАФИЯ</t>
  </si>
  <si>
    <t>Культура</t>
  </si>
  <si>
    <t xml:space="preserve">Подпрограмма "Развитие учреждений культуры Партизанского муниципального округа Приморского края" </t>
  </si>
  <si>
    <t>0320000000</t>
  </si>
  <si>
    <t>0320140000</t>
  </si>
  <si>
    <t xml:space="preserve">Дворцы и дома культуры, другие учреждения культуры </t>
  </si>
  <si>
    <t>0320144000</t>
  </si>
  <si>
    <t>Музеи</t>
  </si>
  <si>
    <t>0320144100</t>
  </si>
  <si>
    <t>Библиотеки</t>
  </si>
  <si>
    <t>0320144200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</si>
  <si>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</si>
  <si>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03201L5190</t>
  </si>
  <si>
    <t>Комплектование книжных фондов и обеспечение информационно-техническим оборудованием библиотек</t>
  </si>
  <si>
    <t>03201S2540</t>
  </si>
  <si>
    <t>Другие вопросы в области культуры, кинематографии</t>
  </si>
  <si>
    <t>0390140000</t>
  </si>
  <si>
    <t>0390145200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</si>
  <si>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</si>
  <si>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</si>
  <si>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</si>
  <si>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0590280060</t>
  </si>
  <si>
    <t>Публичные нормативные социальные выплаты гражданам</t>
  </si>
  <si>
    <t>310</t>
  </si>
  <si>
    <t>Социальное обеспечение населения</t>
  </si>
  <si>
    <t xml:space="preserve">Подпрограмма «Развитие и поддержка педагогических кадров» </t>
  </si>
  <si>
    <t>0260000000</t>
  </si>
  <si>
    <t>Меры социальной поддержки педагогических работников муниципальных образовательных организаций Приморского края</t>
  </si>
  <si>
    <t xml:space="preserve">Муниципальная программа "Устойчивое развитие сельских территорий Партизанского муниципального округа на 2021-2027 годы" </t>
  </si>
  <si>
    <t>2000000000</t>
  </si>
  <si>
    <t xml:space="preserve">Мероприятия муниципальной программы "Устойчивое развитие сельских территорий Партизанского муниципального округа на 2021-2027 годы" </t>
  </si>
  <si>
    <t>2090000000</t>
  </si>
  <si>
    <t>Мероприятия по улучшению жилищных условий граждан, проживающих в сельской местности Партизанского муниципального округа, в том числе молодых семей и молодых специалистов</t>
  </si>
  <si>
    <t>2090180300</t>
  </si>
  <si>
    <t>Охрана семьи и детства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</si>
  <si>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</si>
  <si>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0290293090</t>
  </si>
  <si>
    <t>1900000000</t>
  </si>
  <si>
    <t>1990000000</t>
  </si>
  <si>
    <t>Реализация мероприятий по обеспечению жильем молодых семей за счет средств бюджетов</t>
  </si>
  <si>
    <t>19901L4970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</si>
  <si>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</si>
  <si>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30901R0820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</si>
  <si>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</si>
  <si>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</si>
  <si>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>Другие вопросы в области социальной политики</t>
  </si>
  <si>
    <t>Субсидии общественной организации ветеранов войны, труда, Вооруженных Сил и правоохранительных органов</t>
  </si>
  <si>
    <t>0590160090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</si>
  <si>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</si>
  <si>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</si>
  <si>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Партизанского муниципального округа "Доступная среда" на 2025-2027 годы</t>
  </si>
  <si>
    <t>1300000000</t>
  </si>
  <si>
    <t>Мероприятия муниципальной программы  Партизанского муниципального округа "Доступная среда" на 2025-2027 годы</t>
  </si>
  <si>
    <t>1390000000</t>
  </si>
  <si>
    <t xml:space="preserve">Проведение социально-значимых мероприятий для инвалидов </t>
  </si>
  <si>
    <t>1390120260</t>
  </si>
  <si>
    <t>Субсидии социально-ориентированной некоммерческой организации "Общество инвалидов Партизанского муниципального округа Приморской краевой организации общероссийской общественной организации "Всероссийское общество инвалидов"</t>
  </si>
  <si>
    <t>1390260010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</si>
  <si>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</si>
  <si>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</si>
  <si>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на территории Партизанского муниципального округа" на 2021-2026 годы</t>
  </si>
  <si>
    <t>1400000000</t>
  </si>
  <si>
    <t>Мероприятия муниципальной программы  "Развитие физической культуры и спорта на территории Партизанского муниципального округа" на 2021-2026 годы</t>
  </si>
  <si>
    <t>1490000000</t>
  </si>
  <si>
    <t>Организация, проведение и участие в спортивных мероприятиях</t>
  </si>
  <si>
    <t>1490120070</t>
  </si>
  <si>
    <t>Массовый спорт</t>
  </si>
  <si>
    <t>Организация физкультурно-спортивной работы по месту жительства</t>
  </si>
  <si>
    <t>14901S2190</t>
  </si>
  <si>
    <t>Приобретение и поставка спортивного инвентаря, спортивного оборудования и иного имущества для развития массового спорта</t>
  </si>
  <si>
    <t>14901S2230</t>
  </si>
  <si>
    <t>Развитие спортивной инфраструктуры, находящейся в муниципальной собственности</t>
  </si>
  <si>
    <t>14901S2680</t>
  </si>
  <si>
    <t>СРЕДСТВА МАССОВОЙ ИНФОРМАЦИИ</t>
  </si>
  <si>
    <t>Периодическая печать и издательство</t>
  </si>
  <si>
    <t>Мероприятия в сфере средств массовой информации</t>
  </si>
  <si>
    <t>0790160080</t>
  </si>
  <si>
    <t>Субсидии автономным учреждениям</t>
  </si>
  <si>
    <t>620</t>
  </si>
  <si>
    <t>ВСЕГО РАСХОДОВ:</t>
  </si>
  <si>
    <t>022Ю651790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</si>
  <si>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</si>
  <si>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022Ю650500</t>
  </si>
  <si>
    <t>026Ю693140</t>
  </si>
  <si>
    <t>Реализация программ формирования современной городской среды</t>
  </si>
  <si>
    <t>311И455550</t>
  </si>
  <si>
    <t>Обеспечение комплексного развития сельских территорий (строительство, реконструкция и капитальный ремонт централизованных и нецентрализованных систем водоснабжения, водоотведения, канализации, очистных сооружений, станций водоподготовки и водозаборных сооружений для функционирования объектов жилого и нежилого фонда (объектов социального назначения)</t>
  </si>
  <si>
    <t>18901L5767</t>
  </si>
  <si>
    <t xml:space="preserve">Реализация проектов инициативного бюджетирования по направлению "Твой проект" </t>
  </si>
  <si>
    <t>02202S2361</t>
  </si>
  <si>
    <t>02202S2362</t>
  </si>
  <si>
    <t>Реализация проектов инициативного бюджетирования по направлению "Молодежный бюджет"</t>
  </si>
  <si>
    <t>02202S2752</t>
  </si>
  <si>
    <t>14901S2751</t>
  </si>
  <si>
    <t>031Ю693140</t>
  </si>
  <si>
    <t>Предоставление денежной выплаты гражданам, пострадавшим в результате чрезвычайной ситуации</t>
  </si>
  <si>
    <t>0690280070</t>
  </si>
  <si>
    <t>Единовременная материальная помощь членам семей военнослужащих, погибших в результате участия в специальной военной операции</t>
  </si>
  <si>
    <t>9999920480</t>
  </si>
  <si>
    <t>Мероприятия муниципальной программы "Обеспечение жильем молодых семей Партизанского муниципального округа" на 2021-2027 годы</t>
  </si>
  <si>
    <t>Муниципальная программа "Обеспечение жильем молодых семей Партизанского муниципального округа" на 2021-2027 годы</t>
  </si>
  <si>
    <t>0220177777</t>
  </si>
  <si>
    <t>Средства благотворительного пожертвования</t>
  </si>
  <si>
    <t>Расходы, связанные с исполнением решений, принятых судебными органами</t>
  </si>
  <si>
    <t>Исполнение судебных актов</t>
  </si>
  <si>
    <t>9999920250</t>
  </si>
  <si>
    <t>830</t>
  </si>
  <si>
    <t>Мероприятия по реорганизации и ликвидации учреждений</t>
  </si>
  <si>
    <t>9999920530</t>
  </si>
  <si>
    <t>2590320250</t>
  </si>
  <si>
    <t>Связь и информатика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</si>
  <si>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</si>
  <si>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3200000000</t>
  </si>
  <si>
    <t>Мероприятия муниципальной программы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</si>
  <si>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3290000000</t>
  </si>
  <si>
    <t>Создание условий для обеспечения услугами связи малочисленных и труднодоступных населенных пунктов Приморского края</t>
  </si>
  <si>
    <t>32901S2090</t>
  </si>
  <si>
    <t>Обеспечение проведения выборов и референдумов</t>
  </si>
  <si>
    <t>9999920360</t>
  </si>
  <si>
    <t>Специальные расходы</t>
  </si>
  <si>
    <t>880</t>
  </si>
  <si>
    <t xml:space="preserve">Проведение выборов в представительный орган Партизанского муниципального округа </t>
  </si>
  <si>
    <t>Приморского края</t>
  </si>
  <si>
    <t>от 11.02.2025  № 288-МПА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</si>
</sst>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5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color rgb="FF000000"/>
      <name val="Arial Cyr"/>
      <charset val="1"/>
    </font>
    <font>
      <b/>
      <sz val="10"/>
      <color rgb="FF000000"/>
      <name val="Arial CYR"/>
      <charset val="1"/>
    </font>
    <font>
      <sz val="10"/>
      <name val="Arial Cyr"/>
      <charset val="1"/>
    </font>
    <font>
      <sz val="11"/>
      <color rgb="FF3333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333399"/>
      <name val="Calibri"/>
      <family val="2"/>
      <charset val="204"/>
    </font>
    <font>
      <b/>
      <sz val="13"/>
      <color rgb="FF333399"/>
      <name val="Calibri"/>
      <family val="2"/>
      <charset val="204"/>
    </font>
    <font>
      <b/>
      <sz val="11"/>
      <color rgb="FF33339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333399"/>
      <name val="Cambria"/>
      <family val="2"/>
      <charset val="204"/>
    </font>
    <font>
      <sz val="11"/>
      <color rgb="FF9933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333333"/>
        <bgColor rgb="FF333300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99CCFF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3" borderId="0" applyBorder="0" applyProtection="0"/>
    <xf numFmtId="0" fontId="1" fillId="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3" borderId="0" applyBorder="0" applyProtection="0"/>
    <xf numFmtId="0" fontId="2" fillId="3" borderId="0" applyBorder="0" applyProtection="0"/>
    <xf numFmtId="1" fontId="3" fillId="0" borderId="1">
      <alignment horizontal="center" vertical="top" shrinkToFit="1"/>
    </xf>
    <xf numFmtId="0" fontId="4" fillId="0" borderId="1">
      <alignment vertical="top" wrapText="1"/>
    </xf>
    <xf numFmtId="0" fontId="5" fillId="2" borderId="1">
      <alignment horizontal="left" vertical="top" wrapText="1"/>
    </xf>
    <xf numFmtId="0" fontId="4" fillId="0" borderId="1">
      <alignment vertical="top" wrapText="1"/>
    </xf>
    <xf numFmtId="0" fontId="2" fillId="10" borderId="0" applyBorder="0" applyProtection="0"/>
    <xf numFmtId="0" fontId="2" fillId="10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5" borderId="0" applyBorder="0" applyProtection="0"/>
    <xf numFmtId="0" fontId="2" fillId="15" borderId="0" applyBorder="0" applyProtection="0"/>
    <xf numFmtId="0" fontId="6" fillId="3" borderId="2" applyProtection="0"/>
    <xf numFmtId="0" fontId="6" fillId="3" borderId="2" applyProtection="0"/>
    <xf numFmtId="0" fontId="7" fillId="2" borderId="1" applyProtection="0"/>
    <xf numFmtId="0" fontId="7" fillId="2" borderId="1" applyProtection="0"/>
    <xf numFmtId="0" fontId="8" fillId="2" borderId="2" applyProtection="0"/>
    <xf numFmtId="0" fontId="8" fillId="2" borderId="2" applyProtection="0"/>
    <xf numFmtId="0" fontId="9" fillId="0" borderId="3" applyProtection="0"/>
    <xf numFmtId="0" fontId="9" fillId="0" borderId="3" applyProtection="0"/>
    <xf numFmtId="0" fontId="10" fillId="0" borderId="4" applyProtection="0"/>
    <xf numFmtId="0" fontId="10" fillId="0" borderId="4" applyProtection="0"/>
    <xf numFmtId="0" fontId="11" fillId="0" borderId="5" applyProtection="0"/>
    <xf numFmtId="0" fontId="11" fillId="0" borderId="5" applyProtection="0"/>
    <xf numFmtId="0" fontId="11" fillId="0" borderId="0" applyBorder="0" applyProtection="0"/>
    <xf numFmtId="0" fontId="11" fillId="0" borderId="0" applyBorder="0" applyProtection="0"/>
    <xf numFmtId="0" fontId="7" fillId="0" borderId="6" applyProtection="0"/>
    <xf numFmtId="0" fontId="7" fillId="0" borderId="6" applyProtection="0"/>
    <xf numFmtId="0" fontId="12" fillId="16" borderId="7" applyProtection="0"/>
    <xf numFmtId="0" fontId="12" fillId="16" borderId="7" applyProtection="0"/>
    <xf numFmtId="0" fontId="13" fillId="0" borderId="0" applyBorder="0" applyProtection="0"/>
    <xf numFmtId="0" fontId="13" fillId="0" borderId="0" applyBorder="0" applyProtection="0"/>
    <xf numFmtId="0" fontId="14" fillId="8" borderId="0" applyBorder="0" applyProtection="0"/>
    <xf numFmtId="0" fontId="14" fillId="8" borderId="0" applyBorder="0" applyProtection="0"/>
    <xf numFmtId="0" fontId="15" fillId="0" borderId="0"/>
    <xf numFmtId="0" fontId="16" fillId="0" borderId="0">
      <alignment vertical="top" wrapText="1"/>
    </xf>
    <xf numFmtId="0" fontId="16" fillId="0" borderId="0">
      <alignment vertical="top" wrapText="1"/>
    </xf>
    <xf numFmtId="0" fontId="17" fillId="17" borderId="0" applyBorder="0" applyProtection="0"/>
    <xf numFmtId="0" fontId="17" fillId="17" borderId="0" applyBorder="0" applyProtection="0"/>
    <xf numFmtId="0" fontId="18" fillId="0" borderId="0" applyBorder="0" applyProtection="0"/>
    <xf numFmtId="0" fontId="18" fillId="0" borderId="0" applyBorder="0" applyProtection="0"/>
    <xf numFmtId="0" fontId="30" fillId="4" borderId="8" applyProtection="0"/>
    <xf numFmtId="0" fontId="30" fillId="4" borderId="8" applyProtection="0"/>
    <xf numFmtId="0" fontId="19" fillId="0" borderId="9" applyProtection="0"/>
    <xf numFmtId="0" fontId="19" fillId="0" borderId="9" applyProtection="0"/>
    <xf numFmtId="0" fontId="20" fillId="0" borderId="0" applyBorder="0" applyProtection="0"/>
    <xf numFmtId="0" fontId="20" fillId="0" borderId="0" applyBorder="0" applyProtection="0"/>
    <xf numFmtId="0" fontId="21" fillId="18" borderId="0" applyBorder="0" applyProtection="0"/>
    <xf numFmtId="0" fontId="21" fillId="18" borderId="0" applyBorder="0" applyProtection="0"/>
  </cellStyleXfs>
  <cellXfs count="164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2" fillId="0" borderId="0" xfId="0" applyFont="1" applyAlignment="1"/>
    <xf numFmtId="0" fontId="22" fillId="0" borderId="0" xfId="0" applyFont="1" applyAlignment="1">
      <alignment horizontal="left"/>
    </xf>
    <xf numFmtId="0" fontId="0" fillId="0" borderId="0" xfId="0" applyAlignment="1"/>
    <xf numFmtId="0" fontId="22" fillId="0" borderId="10" xfId="0" applyFont="1" applyBorder="1" applyAlignment="1"/>
    <xf numFmtId="164" fontId="22" fillId="0" borderId="10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top" wrapText="1"/>
    </xf>
    <xf numFmtId="49" fontId="25" fillId="2" borderId="1" xfId="0" applyNumberFormat="1" applyFont="1" applyFill="1" applyBorder="1" applyAlignment="1">
      <alignment horizontal="center" vertical="top" shrinkToFit="1"/>
    </xf>
    <xf numFmtId="4" fontId="25" fillId="2" borderId="1" xfId="0" applyNumberFormat="1" applyFont="1" applyFill="1" applyBorder="1" applyAlignment="1">
      <alignment horizontal="right" vertical="top" shrinkToFit="1"/>
    </xf>
    <xf numFmtId="0" fontId="26" fillId="0" borderId="0" xfId="0" applyFont="1"/>
    <xf numFmtId="0" fontId="24" fillId="2" borderId="1" xfId="0" applyFont="1" applyFill="1" applyBorder="1" applyAlignment="1">
      <alignment vertical="top" wrapText="1"/>
    </xf>
    <xf numFmtId="49" fontId="24" fillId="2" borderId="1" xfId="0" applyNumberFormat="1" applyFont="1" applyFill="1" applyBorder="1" applyAlignment="1">
      <alignment horizontal="center" vertical="top" shrinkToFit="1"/>
    </xf>
    <xf numFmtId="4" fontId="24" fillId="2" borderId="1" xfId="0" applyNumberFormat="1" applyFont="1" applyFill="1" applyBorder="1" applyAlignment="1">
      <alignment horizontal="right" vertical="top" shrinkToFit="1"/>
    </xf>
    <xf numFmtId="0" fontId="24" fillId="2" borderId="1" xfId="0" applyFont="1" applyFill="1" applyBorder="1" applyAlignment="1">
      <alignment vertical="top" wrapText="1" shrinkToFit="1"/>
    </xf>
    <xf numFmtId="4" fontId="24" fillId="2" borderId="1" xfId="0" applyNumberFormat="1" applyFont="1" applyFill="1" applyBorder="1" applyAlignment="1">
      <alignment vertical="top" shrinkToFit="1"/>
    </xf>
    <xf numFmtId="0" fontId="24" fillId="2" borderId="1" xfId="0" applyFont="1" applyFill="1" applyBorder="1" applyAlignment="1" applyProtection="1">
      <alignment vertical="top" wrapText="1"/>
    </xf>
    <xf numFmtId="4" fontId="24" fillId="2" borderId="1" xfId="0" applyNumberFormat="1" applyFont="1" applyFill="1" applyBorder="1" applyAlignment="1">
      <alignment vertical="top"/>
    </xf>
    <xf numFmtId="0" fontId="27" fillId="2" borderId="11" xfId="0" applyFont="1" applyFill="1" applyBorder="1" applyAlignment="1">
      <alignment horizontal="justify" vertical="top" wrapText="1"/>
    </xf>
    <xf numFmtId="0" fontId="24" fillId="2" borderId="1" xfId="75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justify" vertical="top" wrapText="1"/>
    </xf>
    <xf numFmtId="0" fontId="22" fillId="2" borderId="1" xfId="0" applyFont="1" applyFill="1" applyBorder="1" applyAlignment="1">
      <alignment horizontal="justify" vertical="top" wrapText="1"/>
    </xf>
    <xf numFmtId="0" fontId="24" fillId="2" borderId="0" xfId="0" applyFont="1" applyFill="1"/>
    <xf numFmtId="0" fontId="22" fillId="2" borderId="1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vertical="top" wrapText="1"/>
    </xf>
    <xf numFmtId="49" fontId="24" fillId="2" borderId="1" xfId="0" applyNumberFormat="1" applyFont="1" applyFill="1" applyBorder="1" applyAlignment="1" applyProtection="1">
      <alignment horizontal="center" vertical="top" shrinkToFit="1"/>
    </xf>
    <xf numFmtId="49" fontId="28" fillId="2" borderId="1" xfId="0" applyNumberFormat="1" applyFont="1" applyFill="1" applyBorder="1" applyAlignment="1">
      <alignment horizontal="center" vertical="top" shrinkToFit="1"/>
    </xf>
    <xf numFmtId="4" fontId="28" fillId="2" borderId="1" xfId="0" applyNumberFormat="1" applyFont="1" applyFill="1" applyBorder="1" applyAlignment="1">
      <alignment vertical="top" shrinkToFit="1"/>
    </xf>
    <xf numFmtId="0" fontId="22" fillId="2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vertical="top" wrapText="1"/>
    </xf>
    <xf numFmtId="0" fontId="27" fillId="2" borderId="12" xfId="0" applyFont="1" applyFill="1" applyBorder="1" applyAlignment="1">
      <alignment vertical="top" wrapText="1"/>
    </xf>
    <xf numFmtId="49" fontId="27" fillId="2" borderId="1" xfId="0" applyNumberFormat="1" applyFont="1" applyFill="1" applyBorder="1" applyAlignment="1">
      <alignment horizontal="center" vertical="top" shrinkToFit="1"/>
    </xf>
    <xf numFmtId="4" fontId="27" fillId="2" borderId="1" xfId="0" applyNumberFormat="1" applyFont="1" applyFill="1" applyBorder="1" applyAlignment="1">
      <alignment vertical="top" shrinkToFit="1"/>
    </xf>
    <xf numFmtId="0" fontId="27" fillId="2" borderId="1" xfId="0" applyFont="1" applyFill="1" applyBorder="1" applyAlignment="1">
      <alignment vertical="top" wrapText="1"/>
    </xf>
    <xf numFmtId="4" fontId="27" fillId="2" borderId="1" xfId="0" applyNumberFormat="1" applyFont="1" applyFill="1" applyBorder="1" applyAlignment="1">
      <alignment horizontal="right" vertical="top" shrinkToFit="1"/>
    </xf>
    <xf numFmtId="0" fontId="24" fillId="2" borderId="1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 applyProtection="1">
      <alignment horizontal="center" vertical="top" shrinkToFit="1"/>
    </xf>
    <xf numFmtId="4" fontId="28" fillId="2" borderId="1" xfId="0" applyNumberFormat="1" applyFont="1" applyFill="1" applyBorder="1" applyAlignment="1">
      <alignment horizontal="right" vertical="top" shrinkToFit="1"/>
    </xf>
    <xf numFmtId="0" fontId="24" fillId="2" borderId="12" xfId="0" applyFont="1" applyFill="1" applyBorder="1" applyAlignment="1">
      <alignment vertical="top" wrapText="1"/>
    </xf>
    <xf numFmtId="0" fontId="22" fillId="2" borderId="1" xfId="0" applyFont="1" applyFill="1" applyBorder="1" applyAlignment="1">
      <alignment wrapText="1"/>
    </xf>
    <xf numFmtId="0" fontId="24" fillId="2" borderId="1" xfId="0" applyFont="1" applyFill="1" applyBorder="1"/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wrapText="1"/>
    </xf>
    <xf numFmtId="0" fontId="22" fillId="2" borderId="11" xfId="0" applyFont="1" applyFill="1" applyBorder="1" applyAlignment="1">
      <alignment vertical="top" wrapText="1"/>
    </xf>
    <xf numFmtId="4" fontId="25" fillId="2" borderId="1" xfId="0" applyNumberFormat="1" applyFont="1" applyFill="1" applyBorder="1" applyAlignment="1">
      <alignment horizontal="right" shrinkToFit="1"/>
    </xf>
    <xf numFmtId="4" fontId="22" fillId="0" borderId="0" xfId="0" applyNumberFormat="1" applyFont="1" applyAlignment="1">
      <alignment horizontal="left" shrinkToFit="1"/>
    </xf>
    <xf numFmtId="4" fontId="22" fillId="0" borderId="0" xfId="0" applyNumberFormat="1" applyFont="1"/>
    <xf numFmtId="0" fontId="24" fillId="19" borderId="1" xfId="0" applyFont="1" applyFill="1" applyBorder="1" applyAlignment="1">
      <alignment vertical="top" wrapText="1"/>
    </xf>
    <xf numFmtId="49" fontId="24" fillId="19" borderId="1" xfId="0" applyNumberFormat="1" applyFont="1" applyFill="1" applyBorder="1" applyAlignment="1">
      <alignment horizontal="center" vertical="top" shrinkToFit="1"/>
    </xf>
    <xf numFmtId="1" fontId="24" fillId="19" borderId="1" xfId="37" applyFont="1" applyFill="1" applyBorder="1" applyAlignment="1" applyProtection="1">
      <alignment horizontal="center" vertical="top" shrinkToFit="1"/>
    </xf>
    <xf numFmtId="4" fontId="24" fillId="19" borderId="1" xfId="0" applyNumberFormat="1" applyFont="1" applyFill="1" applyBorder="1" applyAlignment="1">
      <alignment vertical="top" shrinkToFit="1"/>
    </xf>
    <xf numFmtId="4" fontId="24" fillId="19" borderId="1" xfId="0" applyNumberFormat="1" applyFont="1" applyFill="1" applyBorder="1" applyAlignment="1">
      <alignment horizontal="right" vertical="top" shrinkToFit="1"/>
    </xf>
    <xf numFmtId="0" fontId="24" fillId="19" borderId="1" xfId="0" applyFont="1" applyFill="1" applyBorder="1" applyAlignment="1">
      <alignment horizontal="justify" vertical="top" wrapText="1"/>
    </xf>
    <xf numFmtId="0" fontId="24" fillId="19" borderId="1" xfId="0" applyFont="1" applyFill="1" applyBorder="1" applyAlignment="1">
      <alignment vertical="center" wrapText="1"/>
    </xf>
    <xf numFmtId="4" fontId="24" fillId="19" borderId="11" xfId="0" applyNumberFormat="1" applyFont="1" applyFill="1" applyBorder="1" applyAlignment="1">
      <alignment horizontal="right" vertical="top" shrinkToFit="1"/>
    </xf>
    <xf numFmtId="0" fontId="22" fillId="19" borderId="11" xfId="0" applyFont="1" applyFill="1" applyBorder="1" applyAlignment="1" applyProtection="1">
      <alignment horizontal="justify" vertical="top" wrapText="1"/>
    </xf>
    <xf numFmtId="0" fontId="22" fillId="19" borderId="1" xfId="0" applyFont="1" applyFill="1" applyBorder="1" applyAlignment="1">
      <alignment vertical="top" wrapText="1"/>
    </xf>
    <xf numFmtId="49" fontId="24" fillId="19" borderId="1" xfId="0" applyNumberFormat="1" applyFont="1" applyFill="1" applyBorder="1" applyAlignment="1">
      <alignment horizontal="center" vertical="top" wrapText="1" shrinkToFit="1"/>
    </xf>
    <xf numFmtId="0" fontId="31" fillId="20" borderId="13" xfId="0" applyFont="1" applyFill="1" applyBorder="1" applyAlignment="1">
      <alignment vertical="top" wrapText="1"/>
    </xf>
    <xf numFmtId="0" fontId="32" fillId="20" borderId="13" xfId="0" applyFont="1" applyFill="1" applyBorder="1" applyAlignment="1">
      <alignment vertical="top" wrapText="1"/>
    </xf>
    <xf numFmtId="49" fontId="24" fillId="19" borderId="11" xfId="0" applyNumberFormat="1" applyFont="1" applyFill="1" applyBorder="1" applyAlignment="1" applyProtection="1">
      <alignment horizontal="center" vertical="top" shrinkToFit="1"/>
    </xf>
    <xf numFmtId="49" fontId="32" fillId="20" borderId="13" xfId="0" applyNumberFormat="1" applyFont="1" applyFill="1" applyBorder="1" applyAlignment="1">
      <alignment horizontal="center" vertical="top" shrinkToFit="1"/>
    </xf>
    <xf numFmtId="49" fontId="31" fillId="20" borderId="13" xfId="0" applyNumberFormat="1" applyFont="1" applyFill="1" applyBorder="1" applyAlignment="1">
      <alignment horizontal="center" vertical="top" shrinkToFit="1"/>
    </xf>
    <xf numFmtId="4" fontId="31" fillId="20" borderId="13" xfId="0" applyNumberFormat="1" applyFont="1" applyFill="1" applyBorder="1" applyAlignment="1">
      <alignment horizontal="right" vertical="top" shrinkToFit="1"/>
    </xf>
    <xf numFmtId="0" fontId="24" fillId="19" borderId="1" xfId="0" applyFont="1" applyFill="1" applyBorder="1" applyAlignment="1">
      <alignment horizontal="left" vertical="center" wrapText="1"/>
    </xf>
    <xf numFmtId="49" fontId="24" fillId="19" borderId="1" xfId="0" applyNumberFormat="1" applyFont="1" applyFill="1" applyBorder="1" applyAlignment="1">
      <alignment horizontal="center" vertical="top" wrapText="1"/>
    </xf>
    <xf numFmtId="0" fontId="24" fillId="2" borderId="11" xfId="0" applyFont="1" applyFill="1" applyBorder="1" applyAlignment="1">
      <alignment vertical="top" wrapText="1"/>
    </xf>
    <xf numFmtId="49" fontId="24" fillId="2" borderId="11" xfId="0" applyNumberFormat="1" applyFont="1" applyFill="1" applyBorder="1" applyAlignment="1">
      <alignment horizontal="center" vertical="top" shrinkToFit="1"/>
    </xf>
    <xf numFmtId="4" fontId="24" fillId="2" borderId="11" xfId="0" applyNumberFormat="1" applyFont="1" applyFill="1" applyBorder="1" applyAlignment="1">
      <alignment horizontal="right" vertical="top" shrinkToFit="1"/>
    </xf>
    <xf numFmtId="0" fontId="24" fillId="19" borderId="11" xfId="0" applyFont="1" applyFill="1" applyBorder="1" applyAlignment="1">
      <alignment vertical="top" wrapText="1"/>
    </xf>
    <xf numFmtId="49" fontId="24" fillId="19" borderId="11" xfId="0" applyNumberFormat="1" applyFont="1" applyFill="1" applyBorder="1" applyAlignment="1">
      <alignment horizontal="center" vertical="top" shrinkToFit="1"/>
    </xf>
    <xf numFmtId="0" fontId="31" fillId="20" borderId="11" xfId="0" applyFont="1" applyFill="1" applyBorder="1" applyAlignment="1">
      <alignment vertical="top" wrapText="1"/>
    </xf>
    <xf numFmtId="49" fontId="32" fillId="20" borderId="11" xfId="0" applyNumberFormat="1" applyFont="1" applyFill="1" applyBorder="1" applyAlignment="1">
      <alignment horizontal="center" vertical="top" shrinkToFit="1"/>
    </xf>
    <xf numFmtId="49" fontId="31" fillId="20" borderId="11" xfId="0" applyNumberFormat="1" applyFont="1" applyFill="1" applyBorder="1" applyAlignment="1">
      <alignment horizontal="center" vertical="top" shrinkToFit="1"/>
    </xf>
    <xf numFmtId="4" fontId="31" fillId="20" borderId="11" xfId="0" applyNumberFormat="1" applyFont="1" applyFill="1" applyBorder="1" applyAlignment="1">
      <alignment horizontal="right" vertical="top" shrinkToFit="1"/>
    </xf>
    <xf numFmtId="0" fontId="32" fillId="20" borderId="11" xfId="0" applyFont="1" applyFill="1" applyBorder="1" applyAlignment="1">
      <alignment vertical="top" wrapText="1"/>
    </xf>
    <xf numFmtId="0" fontId="24" fillId="21" borderId="11" xfId="0" applyFont="1" applyFill="1" applyBorder="1" applyAlignment="1">
      <alignment vertical="top" wrapText="1"/>
    </xf>
    <xf numFmtId="0" fontId="22" fillId="21" borderId="11" xfId="0" applyFont="1" applyFill="1" applyBorder="1" applyAlignment="1">
      <alignment horizontal="justify" vertical="top" wrapText="1"/>
    </xf>
    <xf numFmtId="0" fontId="24" fillId="19" borderId="11" xfId="0" applyFont="1" applyFill="1" applyBorder="1" applyAlignment="1" applyProtection="1">
      <alignment horizontal="left" vertical="center" wrapText="1"/>
    </xf>
    <xf numFmtId="0" fontId="24" fillId="19" borderId="11" xfId="0" applyFont="1" applyFill="1" applyBorder="1" applyAlignment="1" applyProtection="1">
      <alignment vertical="top" wrapText="1"/>
    </xf>
    <xf numFmtId="49" fontId="33" fillId="19" borderId="11" xfId="0" applyNumberFormat="1" applyFont="1" applyFill="1" applyBorder="1" applyAlignment="1" applyProtection="1">
      <alignment horizontal="center" vertical="top" wrapText="1"/>
    </xf>
    <xf numFmtId="4" fontId="24" fillId="19" borderId="11" xfId="0" applyNumberFormat="1" applyFont="1" applyFill="1" applyBorder="1" applyAlignment="1" applyProtection="1">
      <alignment horizontal="right" vertical="top" shrinkToFit="1"/>
    </xf>
    <xf numFmtId="4" fontId="24" fillId="19" borderId="11" xfId="0" applyNumberFormat="1" applyFont="1" applyFill="1" applyBorder="1" applyAlignment="1" applyProtection="1">
      <alignment vertical="top" shrinkToFit="1"/>
    </xf>
    <xf numFmtId="0" fontId="22" fillId="0" borderId="11" xfId="0" applyFont="1" applyBorder="1" applyAlignment="1" applyProtection="1">
      <alignment vertical="top" wrapText="1"/>
    </xf>
    <xf numFmtId="49" fontId="22" fillId="0" borderId="11" xfId="0" applyNumberFormat="1" applyFont="1" applyBorder="1" applyAlignment="1">
      <alignment horizontal="center" vertical="top" shrinkToFit="1"/>
    </xf>
    <xf numFmtId="4" fontId="22" fillId="0" borderId="11" xfId="0" applyNumberFormat="1" applyFont="1" applyBorder="1" applyAlignment="1">
      <alignment vertical="top" shrinkToFit="1"/>
    </xf>
    <xf numFmtId="0" fontId="22" fillId="0" borderId="11" xfId="0" applyFont="1" applyBorder="1" applyAlignment="1">
      <alignment vertical="top" wrapText="1"/>
    </xf>
    <xf numFmtId="49" fontId="22" fillId="0" borderId="11" xfId="0" applyNumberFormat="1" applyFont="1" applyBorder="1" applyAlignment="1">
      <alignment horizontal="center" vertical="top" wrapText="1"/>
    </xf>
    <xf numFmtId="0" fontId="23" fillId="21" borderId="11" xfId="0" applyFont="1" applyFill="1" applyBorder="1" applyAlignment="1">
      <alignment vertical="top" wrapText="1"/>
    </xf>
    <xf numFmtId="49" fontId="22" fillId="21" borderId="11" xfId="0" applyNumberFormat="1" applyFont="1" applyFill="1" applyBorder="1" applyAlignment="1">
      <alignment horizontal="center" vertical="top" shrinkToFit="1"/>
    </xf>
    <xf numFmtId="49" fontId="22" fillId="21" borderId="11" xfId="0" applyNumberFormat="1" applyFont="1" applyFill="1" applyBorder="1" applyAlignment="1">
      <alignment horizontal="center" vertical="top" wrapText="1"/>
    </xf>
    <xf numFmtId="4" fontId="22" fillId="21" borderId="11" xfId="0" applyNumberFormat="1" applyFont="1" applyFill="1" applyBorder="1" applyAlignment="1">
      <alignment vertical="top" shrinkToFit="1"/>
    </xf>
    <xf numFmtId="0" fontId="22" fillId="21" borderId="11" xfId="0" applyFont="1" applyFill="1" applyBorder="1" applyAlignment="1">
      <alignment vertical="top" wrapText="1"/>
    </xf>
    <xf numFmtId="0" fontId="22" fillId="22" borderId="11" xfId="0" applyFont="1" applyFill="1" applyBorder="1" applyAlignment="1">
      <alignment vertical="top" wrapText="1"/>
    </xf>
    <xf numFmtId="49" fontId="22" fillId="22" borderId="11" xfId="0" applyNumberFormat="1" applyFont="1" applyFill="1" applyBorder="1" applyAlignment="1">
      <alignment horizontal="center" vertical="top" shrinkToFit="1"/>
    </xf>
    <xf numFmtId="49" fontId="22" fillId="22" borderId="11" xfId="0" applyNumberFormat="1" applyFont="1" applyFill="1" applyBorder="1" applyAlignment="1">
      <alignment horizontal="center" vertical="top" wrapText="1"/>
    </xf>
    <xf numFmtId="4" fontId="22" fillId="22" borderId="11" xfId="0" applyNumberFormat="1" applyFont="1" applyFill="1" applyBorder="1" applyAlignment="1">
      <alignment vertical="top" shrinkToFit="1"/>
    </xf>
    <xf numFmtId="0" fontId="24" fillId="0" borderId="11" xfId="0" applyFont="1" applyBorder="1" applyAlignment="1">
      <alignment vertical="top" wrapText="1"/>
    </xf>
    <xf numFmtId="49" fontId="24" fillId="0" borderId="11" xfId="0" applyNumberFormat="1" applyFont="1" applyBorder="1" applyAlignment="1">
      <alignment horizontal="center" vertical="top" shrinkToFit="1"/>
    </xf>
    <xf numFmtId="4" fontId="24" fillId="0" borderId="11" xfId="0" applyNumberFormat="1" applyFont="1" applyBorder="1" applyAlignment="1">
      <alignment horizontal="right" vertical="top" shrinkToFit="1"/>
    </xf>
    <xf numFmtId="49" fontId="24" fillId="21" borderId="11" xfId="0" applyNumberFormat="1" applyFont="1" applyFill="1" applyBorder="1" applyAlignment="1">
      <alignment horizontal="center" vertical="top" shrinkToFit="1"/>
    </xf>
    <xf numFmtId="4" fontId="24" fillId="21" borderId="11" xfId="0" applyNumberFormat="1" applyFont="1" applyFill="1" applyBorder="1" applyAlignment="1">
      <alignment horizontal="right" vertical="top" shrinkToFit="1"/>
    </xf>
    <xf numFmtId="0" fontId="24" fillId="22" borderId="11" xfId="0" applyFont="1" applyFill="1" applyBorder="1" applyAlignment="1">
      <alignment vertical="top" wrapText="1"/>
    </xf>
    <xf numFmtId="49" fontId="24" fillId="22" borderId="11" xfId="0" applyNumberFormat="1" applyFont="1" applyFill="1" applyBorder="1" applyAlignment="1">
      <alignment horizontal="center" vertical="top" shrinkToFit="1"/>
    </xf>
    <xf numFmtId="4" fontId="24" fillId="22" borderId="11" xfId="0" applyNumberFormat="1" applyFont="1" applyFill="1" applyBorder="1" applyAlignment="1">
      <alignment horizontal="right" vertical="top" shrinkToFit="1"/>
    </xf>
    <xf numFmtId="0" fontId="28" fillId="19" borderId="1" xfId="0" applyFont="1" applyFill="1" applyBorder="1" applyAlignment="1">
      <alignment vertical="top" wrapText="1"/>
    </xf>
    <xf numFmtId="49" fontId="28" fillId="19" borderId="1" xfId="0" applyNumberFormat="1" applyFont="1" applyFill="1" applyBorder="1" applyAlignment="1" applyProtection="1">
      <alignment horizontal="center" vertical="top" shrinkToFit="1"/>
    </xf>
    <xf numFmtId="49" fontId="28" fillId="19" borderId="1" xfId="0" applyNumberFormat="1" applyFont="1" applyFill="1" applyBorder="1" applyAlignment="1">
      <alignment horizontal="center" vertical="top" shrinkToFit="1"/>
    </xf>
    <xf numFmtId="4" fontId="28" fillId="19" borderId="1" xfId="0" applyNumberFormat="1" applyFont="1" applyFill="1" applyBorder="1" applyAlignment="1">
      <alignment horizontal="right" vertical="top" shrinkToFit="1"/>
    </xf>
    <xf numFmtId="4" fontId="32" fillId="0" borderId="13" xfId="0" applyNumberFormat="1" applyFont="1" applyFill="1" applyBorder="1" applyAlignment="1">
      <alignment horizontal="right" vertical="top" shrinkToFit="1"/>
    </xf>
    <xf numFmtId="0" fontId="34" fillId="21" borderId="13" xfId="0" applyFont="1" applyFill="1" applyBorder="1" applyAlignment="1">
      <alignment vertical="top" wrapText="1"/>
    </xf>
    <xf numFmtId="49" fontId="32" fillId="21" borderId="13" xfId="0" applyNumberFormat="1" applyFont="1" applyFill="1" applyBorder="1" applyAlignment="1">
      <alignment horizontal="center" vertical="top" shrinkToFit="1"/>
    </xf>
    <xf numFmtId="4" fontId="32" fillId="21" borderId="13" xfId="0" applyNumberFormat="1" applyFont="1" applyFill="1" applyBorder="1" applyAlignment="1">
      <alignment horizontal="right" vertical="top" shrinkToFit="1"/>
    </xf>
    <xf numFmtId="0" fontId="32" fillId="21" borderId="13" xfId="0" applyFont="1" applyFill="1" applyBorder="1" applyAlignment="1">
      <alignment vertical="top" wrapText="1"/>
    </xf>
    <xf numFmtId="0" fontId="32" fillId="21" borderId="13" xfId="0" applyFont="1" applyFill="1" applyBorder="1" applyAlignment="1">
      <alignment wrapText="1"/>
    </xf>
    <xf numFmtId="4" fontId="32" fillId="21" borderId="13" xfId="0" applyNumberFormat="1" applyFont="1" applyFill="1" applyBorder="1" applyAlignment="1">
      <alignment vertical="top"/>
    </xf>
    <xf numFmtId="0" fontId="32" fillId="23" borderId="13" xfId="0" applyFont="1" applyFill="1" applyBorder="1" applyAlignment="1">
      <alignment vertical="top" wrapText="1"/>
    </xf>
    <xf numFmtId="49" fontId="32" fillId="23" borderId="13" xfId="0" applyNumberFormat="1" applyFont="1" applyFill="1" applyBorder="1" applyAlignment="1">
      <alignment horizontal="center" vertical="top" shrinkToFit="1"/>
    </xf>
    <xf numFmtId="0" fontId="32" fillId="21" borderId="14" xfId="0" applyFont="1" applyFill="1" applyBorder="1" applyAlignment="1">
      <alignment vertical="top" wrapText="1"/>
    </xf>
    <xf numFmtId="49" fontId="24" fillId="19" borderId="15" xfId="0" applyNumberFormat="1" applyFont="1" applyFill="1" applyBorder="1" applyAlignment="1">
      <alignment horizontal="center" vertical="top" shrinkToFit="1"/>
    </xf>
    <xf numFmtId="49" fontId="32" fillId="21" borderId="14" xfId="0" applyNumberFormat="1" applyFont="1" applyFill="1" applyBorder="1" applyAlignment="1">
      <alignment horizontal="center" vertical="top" shrinkToFit="1"/>
    </xf>
    <xf numFmtId="4" fontId="32" fillId="21" borderId="14" xfId="0" applyNumberFormat="1" applyFont="1" applyFill="1" applyBorder="1" applyAlignment="1">
      <alignment vertical="top"/>
    </xf>
    <xf numFmtId="0" fontId="32" fillId="21" borderId="16" xfId="0" applyFont="1" applyFill="1" applyBorder="1" applyAlignment="1">
      <alignment vertical="top" wrapText="1"/>
    </xf>
    <xf numFmtId="49" fontId="24" fillId="19" borderId="16" xfId="0" applyNumberFormat="1" applyFont="1" applyFill="1" applyBorder="1" applyAlignment="1">
      <alignment horizontal="center" vertical="top" shrinkToFit="1"/>
    </xf>
    <xf numFmtId="49" fontId="32" fillId="21" borderId="16" xfId="0" applyNumberFormat="1" applyFont="1" applyFill="1" applyBorder="1" applyAlignment="1">
      <alignment horizontal="center" vertical="top" shrinkToFit="1"/>
    </xf>
    <xf numFmtId="4" fontId="32" fillId="21" borderId="16" xfId="0" applyNumberFormat="1" applyFont="1" applyFill="1" applyBorder="1" applyAlignment="1">
      <alignment vertical="top"/>
    </xf>
    <xf numFmtId="0" fontId="32" fillId="23" borderId="16" xfId="0" applyFont="1" applyFill="1" applyBorder="1" applyAlignment="1">
      <alignment vertical="top" wrapText="1"/>
    </xf>
    <xf numFmtId="49" fontId="32" fillId="23" borderId="16" xfId="0" applyNumberFormat="1" applyFont="1" applyFill="1" applyBorder="1" applyAlignment="1">
      <alignment horizontal="center" vertical="top" shrinkToFit="1"/>
    </xf>
    <xf numFmtId="4" fontId="32" fillId="23" borderId="16" xfId="0" applyNumberFormat="1" applyFont="1" applyFill="1" applyBorder="1" applyAlignment="1">
      <alignment vertical="top"/>
    </xf>
    <xf numFmtId="0" fontId="24" fillId="19" borderId="16" xfId="0" applyFont="1" applyFill="1" applyBorder="1" applyAlignment="1">
      <alignment vertical="top" wrapText="1"/>
    </xf>
    <xf numFmtId="4" fontId="24" fillId="19" borderId="16" xfId="0" applyNumberFormat="1" applyFont="1" applyFill="1" applyBorder="1" applyAlignment="1">
      <alignment horizontal="right" vertical="top" shrinkToFit="1"/>
    </xf>
    <xf numFmtId="0" fontId="24" fillId="19" borderId="1" xfId="0" applyFont="1" applyFill="1" applyBorder="1" applyAlignment="1">
      <alignment horizontal="left" vertical="top" wrapText="1"/>
    </xf>
    <xf numFmtId="49" fontId="24" fillId="19" borderId="1" xfId="0" applyNumberFormat="1" applyFont="1" applyFill="1" applyBorder="1" applyAlignment="1" applyProtection="1">
      <alignment horizontal="center" vertical="top" shrinkToFit="1"/>
    </xf>
    <xf numFmtId="4" fontId="28" fillId="19" borderId="1" xfId="0" applyNumberFormat="1" applyFont="1" applyFill="1" applyBorder="1" applyAlignment="1">
      <alignment vertical="top" shrinkToFit="1"/>
    </xf>
    <xf numFmtId="4" fontId="24" fillId="2" borderId="18" xfId="0" applyNumberFormat="1" applyFont="1" applyFill="1" applyBorder="1" applyAlignment="1">
      <alignment vertical="top" shrinkToFit="1"/>
    </xf>
    <xf numFmtId="4" fontId="24" fillId="2" borderId="18" xfId="0" applyNumberFormat="1" applyFont="1" applyFill="1" applyBorder="1" applyAlignment="1">
      <alignment horizontal="right" vertical="top" shrinkToFit="1"/>
    </xf>
    <xf numFmtId="0" fontId="24" fillId="19" borderId="18" xfId="0" applyFont="1" applyFill="1" applyBorder="1" applyAlignment="1">
      <alignment vertical="top" wrapText="1"/>
    </xf>
    <xf numFmtId="49" fontId="24" fillId="19" borderId="18" xfId="0" applyNumberFormat="1" applyFont="1" applyFill="1" applyBorder="1" applyAlignment="1">
      <alignment horizontal="center" vertical="top" shrinkToFit="1"/>
    </xf>
    <xf numFmtId="4" fontId="24" fillId="19" borderId="18" xfId="0" applyNumberFormat="1" applyFont="1" applyFill="1" applyBorder="1" applyAlignment="1">
      <alignment vertical="top" shrinkToFit="1"/>
    </xf>
    <xf numFmtId="4" fontId="24" fillId="19" borderId="18" xfId="0" applyNumberFormat="1" applyFont="1" applyFill="1" applyBorder="1" applyAlignment="1">
      <alignment horizontal="right" vertical="top" shrinkToFit="1"/>
    </xf>
    <xf numFmtId="4" fontId="32" fillId="24" borderId="17" xfId="0" applyNumberFormat="1" applyFont="1" applyFill="1" applyBorder="1" applyAlignment="1">
      <alignment horizontal="right" vertical="top" shrinkToFit="1"/>
    </xf>
    <xf numFmtId="0" fontId="32" fillId="20" borderId="17" xfId="0" applyFont="1" applyFill="1" applyBorder="1" applyAlignment="1">
      <alignment vertical="top" wrapText="1"/>
    </xf>
    <xf numFmtId="49" fontId="24" fillId="19" borderId="18" xfId="0" applyNumberFormat="1" applyFont="1" applyFill="1" applyBorder="1" applyAlignment="1" applyProtection="1">
      <alignment horizontal="center" vertical="top" shrinkToFit="1"/>
    </xf>
    <xf numFmtId="49" fontId="32" fillId="20" borderId="17" xfId="0" applyNumberFormat="1" applyFont="1" applyFill="1" applyBorder="1" applyAlignment="1">
      <alignment horizontal="center" vertical="top" shrinkToFit="1"/>
    </xf>
    <xf numFmtId="4" fontId="32" fillId="20" borderId="17" xfId="0" applyNumberFormat="1" applyFont="1" applyFill="1" applyBorder="1" applyAlignment="1">
      <alignment horizontal="right" vertical="top" shrinkToFit="1"/>
    </xf>
    <xf numFmtId="0" fontId="22" fillId="19" borderId="1" xfId="39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>
      <alignment vertical="top" wrapText="1"/>
    </xf>
    <xf numFmtId="49" fontId="31" fillId="0" borderId="18" xfId="0" applyNumberFormat="1" applyFont="1" applyFill="1" applyBorder="1" applyAlignment="1">
      <alignment horizontal="center" vertical="top" shrinkToFit="1"/>
    </xf>
    <xf numFmtId="4" fontId="31" fillId="0" borderId="18" xfId="0" applyNumberFormat="1" applyFont="1" applyFill="1" applyBorder="1" applyAlignment="1">
      <alignment vertical="top" shrinkToFit="1"/>
    </xf>
    <xf numFmtId="4" fontId="31" fillId="0" borderId="19" xfId="0" applyNumberFormat="1" applyFont="1" applyFill="1" applyBorder="1" applyAlignment="1">
      <alignment vertical="top" shrinkToFit="1"/>
    </xf>
    <xf numFmtId="0" fontId="31" fillId="21" borderId="19" xfId="38" applyNumberFormat="1" applyFont="1" applyFill="1" applyBorder="1" applyAlignment="1" applyProtection="1">
      <alignment vertical="top" wrapText="1"/>
    </xf>
    <xf numFmtId="49" fontId="31" fillId="21" borderId="19" xfId="0" applyNumberFormat="1" applyFont="1" applyFill="1" applyBorder="1" applyAlignment="1">
      <alignment horizontal="center" vertical="top" shrinkToFit="1"/>
    </xf>
    <xf numFmtId="4" fontId="31" fillId="21" borderId="19" xfId="0" applyNumberFormat="1" applyFont="1" applyFill="1" applyBorder="1" applyAlignment="1">
      <alignment vertical="top" shrinkToFit="1"/>
    </xf>
    <xf numFmtId="0" fontId="31" fillId="21" borderId="19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/>
    </xf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</cellXfs>
  <cellStyles count="90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xl26" xfId="37"/>
    <cellStyle name="xl33" xfId="38"/>
    <cellStyle name="xl34" xfId="39"/>
    <cellStyle name="xl37" xfId="40"/>
    <cellStyle name="Акцент1 2" xfId="41"/>
    <cellStyle name="Акцент1 3" xfId="42"/>
    <cellStyle name="Акцент2 2" xfId="43"/>
    <cellStyle name="Акцент2 3" xfId="44"/>
    <cellStyle name="Акцент3 2" xfId="45"/>
    <cellStyle name="Акцент3 3" xfId="46"/>
    <cellStyle name="Акцент4 2" xfId="47"/>
    <cellStyle name="Акцент4 3" xfId="48"/>
    <cellStyle name="Акцент5 2" xfId="49"/>
    <cellStyle name="Акцент5 3" xfId="50"/>
    <cellStyle name="Акцент6 2" xfId="51"/>
    <cellStyle name="Акцент6 3" xfId="52"/>
    <cellStyle name="Ввод  2" xfId="53"/>
    <cellStyle name="Ввод  3" xfId="54"/>
    <cellStyle name="Вывод 2" xfId="55"/>
    <cellStyle name="Вывод 3" xfId="56"/>
    <cellStyle name="Вычисление 2" xfId="57"/>
    <cellStyle name="Вычисление 3" xfId="58"/>
    <cellStyle name="Заголовок 1 2" xfId="59"/>
    <cellStyle name="Заголовок 1 3" xfId="60"/>
    <cellStyle name="Заголовок 2 2" xfId="61"/>
    <cellStyle name="Заголовок 2 3" xfId="62"/>
    <cellStyle name="Заголовок 3 2" xfId="63"/>
    <cellStyle name="Заголовок 3 3" xfId="64"/>
    <cellStyle name="Заголовок 4 2" xfId="65"/>
    <cellStyle name="Заголовок 4 3" xfId="66"/>
    <cellStyle name="Итог 2" xfId="67"/>
    <cellStyle name="Итог 3" xfId="68"/>
    <cellStyle name="Контрольная ячейка 2" xfId="69"/>
    <cellStyle name="Контрольная ячейка 3" xfId="70"/>
    <cellStyle name="Название 2" xfId="71"/>
    <cellStyle name="Название 3" xfId="72"/>
    <cellStyle name="Нейтральный 2" xfId="73"/>
    <cellStyle name="Нейтральный 3" xfId="74"/>
    <cellStyle name="Обычный" xfId="0" builtinId="0"/>
    <cellStyle name="Обычный 2" xfId="75"/>
    <cellStyle name="Обычный 2 2" xfId="76"/>
    <cellStyle name="Обычный 2 3" xfId="77"/>
    <cellStyle name="Плохой 2" xfId="78"/>
    <cellStyle name="Плохой 3" xfId="79"/>
    <cellStyle name="Пояснение 2" xfId="80"/>
    <cellStyle name="Пояснение 3" xfId="81"/>
    <cellStyle name="Примечание 2" xfId="82"/>
    <cellStyle name="Примечание 3" xfId="83"/>
    <cellStyle name="Связанная ячейка 2" xfId="84"/>
    <cellStyle name="Связанная ячейка 3" xfId="85"/>
    <cellStyle name="Текст предупреждения 2" xfId="86"/>
    <cellStyle name="Текст предупреждения 3" xfId="87"/>
    <cellStyle name="Хороший 2" xfId="88"/>
    <cellStyle name="Хороший 3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2"/>
  <sheetViews>
    <sheetView showGridLines="0" tabSelected="1" workbookViewId="0">
      <selection activeCell="F10" sqref="F10"/>
    </sheetView>
  </sheetViews>
  <sheetFormatPr defaultColWidth="8.85546875" defaultRowHeight="15.75" outlineLevelRow="5"/>
  <cols>
    <col min="1" max="1" width="69" style="1" customWidth="1"/>
    <col min="2" max="2" width="7.140625" style="1" customWidth="1"/>
    <col min="3" max="3" width="8.140625" style="1" customWidth="1"/>
    <col min="4" max="4" width="14.42578125" style="1" customWidth="1"/>
    <col min="5" max="5" width="13.7109375" style="1" customWidth="1"/>
    <col min="6" max="6" width="16.85546875" style="2" customWidth="1"/>
    <col min="7" max="8" width="16.85546875" style="1" customWidth="1"/>
    <col min="9" max="16384" width="8.85546875" style="1"/>
  </cols>
  <sheetData>
    <row r="1" spans="1:8">
      <c r="F1" s="3" t="s">
        <v>0</v>
      </c>
    </row>
    <row r="2" spans="1:8">
      <c r="F2" s="3" t="s">
        <v>1</v>
      </c>
    </row>
    <row r="3" spans="1:8">
      <c r="F3" s="3" t="s">
        <v>2</v>
      </c>
    </row>
    <row r="4" spans="1:8">
      <c r="F4" s="2" t="s">
        <v>510</v>
      </c>
    </row>
    <row r="5" spans="1:8">
      <c r="F5" s="3" t="s">
        <v>511</v>
      </c>
    </row>
    <row r="7" spans="1:8">
      <c r="D7" s="3"/>
      <c r="E7" s="4"/>
      <c r="F7" s="3" t="s">
        <v>0</v>
      </c>
    </row>
    <row r="8" spans="1:8">
      <c r="D8" s="5"/>
      <c r="E8" s="5"/>
      <c r="F8" s="3" t="s">
        <v>1</v>
      </c>
    </row>
    <row r="9" spans="1:8">
      <c r="D9" s="5"/>
      <c r="E9" s="5"/>
      <c r="F9" s="3" t="s">
        <v>2</v>
      </c>
    </row>
    <row r="10" spans="1:8">
      <c r="D10" s="5"/>
      <c r="E10" s="5"/>
      <c r="F10" s="2" t="s">
        <v>510</v>
      </c>
    </row>
    <row r="11" spans="1:8">
      <c r="F11" s="3" t="s">
        <v>3</v>
      </c>
    </row>
    <row r="12" spans="1:8" ht="19.5" customHeight="1">
      <c r="A12" s="160" t="s">
        <v>4</v>
      </c>
      <c r="B12" s="160"/>
      <c r="C12" s="160"/>
      <c r="D12" s="160"/>
      <c r="E12" s="160"/>
      <c r="F12" s="160"/>
      <c r="G12" s="160"/>
      <c r="H12" s="160"/>
    </row>
    <row r="13" spans="1:8" ht="55.5" customHeight="1">
      <c r="A13" s="161" t="s">
        <v>5</v>
      </c>
      <c r="B13" s="161"/>
      <c r="C13" s="161"/>
      <c r="D13" s="161"/>
      <c r="E13" s="161"/>
      <c r="F13" s="161"/>
      <c r="G13" s="161"/>
      <c r="H13" s="161"/>
    </row>
    <row r="14" spans="1:8">
      <c r="A14" s="6"/>
      <c r="B14" s="6"/>
      <c r="C14" s="6"/>
      <c r="D14" s="6"/>
      <c r="E14" s="6"/>
      <c r="H14" s="7" t="s">
        <v>6</v>
      </c>
    </row>
    <row r="15" spans="1:8" ht="24" customHeight="1">
      <c r="A15" s="162" t="s">
        <v>7</v>
      </c>
      <c r="B15" s="162" t="s">
        <v>8</v>
      </c>
      <c r="C15" s="162" t="s">
        <v>9</v>
      </c>
      <c r="D15" s="162" t="s">
        <v>10</v>
      </c>
      <c r="E15" s="162" t="s">
        <v>11</v>
      </c>
      <c r="F15" s="163" t="s">
        <v>12</v>
      </c>
      <c r="G15" s="163"/>
      <c r="H15" s="163"/>
    </row>
    <row r="16" spans="1:8" ht="30.75" customHeight="1">
      <c r="A16" s="162"/>
      <c r="B16" s="162"/>
      <c r="C16" s="162"/>
      <c r="D16" s="162"/>
      <c r="E16" s="162"/>
      <c r="F16" s="9" t="s">
        <v>13</v>
      </c>
      <c r="G16" s="9" t="s">
        <v>14</v>
      </c>
      <c r="H16" s="9" t="s">
        <v>15</v>
      </c>
    </row>
    <row r="17" spans="1:8" ht="21" customHeight="1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10">
        <v>6</v>
      </c>
      <c r="G17" s="10">
        <v>7</v>
      </c>
      <c r="H17" s="10">
        <v>8</v>
      </c>
    </row>
    <row r="18" spans="1:8" s="14" customFormat="1">
      <c r="A18" s="11" t="s">
        <v>16</v>
      </c>
      <c r="B18" s="12" t="s">
        <v>17</v>
      </c>
      <c r="C18" s="12" t="s">
        <v>18</v>
      </c>
      <c r="D18" s="12" t="s">
        <v>19</v>
      </c>
      <c r="E18" s="12" t="s">
        <v>20</v>
      </c>
      <c r="F18" s="13">
        <f>F19+F25+F40+F50+F56+F69+F75+F81</f>
        <v>345596159.98000002</v>
      </c>
      <c r="G18" s="13">
        <f t="shared" ref="G18:H18" si="0">G19+G25+G40+G50+G56+G69+G75+G81</f>
        <v>346802837.08000004</v>
      </c>
      <c r="H18" s="13">
        <f t="shared" si="0"/>
        <v>358155522.08000004</v>
      </c>
    </row>
    <row r="19" spans="1:8" ht="31.5" outlineLevel="1">
      <c r="A19" s="15" t="s">
        <v>21</v>
      </c>
      <c r="B19" s="16" t="s">
        <v>17</v>
      </c>
      <c r="C19" s="16" t="s">
        <v>22</v>
      </c>
      <c r="D19" s="16" t="s">
        <v>19</v>
      </c>
      <c r="E19" s="16" t="s">
        <v>20</v>
      </c>
      <c r="F19" s="17">
        <f>F21</f>
        <v>3282418</v>
      </c>
      <c r="G19" s="17">
        <f>G21</f>
        <v>3425877</v>
      </c>
      <c r="H19" s="17">
        <f>H21</f>
        <v>3562913</v>
      </c>
    </row>
    <row r="20" spans="1:8" ht="31.5" outlineLevel="1">
      <c r="A20" s="15" t="s">
        <v>23</v>
      </c>
      <c r="B20" s="16" t="s">
        <v>17</v>
      </c>
      <c r="C20" s="16" t="s">
        <v>22</v>
      </c>
      <c r="D20" s="16" t="s">
        <v>24</v>
      </c>
      <c r="E20" s="16" t="s">
        <v>20</v>
      </c>
      <c r="F20" s="17">
        <f t="shared" ref="F20:H23" si="1">F21</f>
        <v>3282418</v>
      </c>
      <c r="G20" s="17">
        <f t="shared" si="1"/>
        <v>3425877</v>
      </c>
      <c r="H20" s="17">
        <f t="shared" si="1"/>
        <v>3562913</v>
      </c>
    </row>
    <row r="21" spans="1:8" ht="31.5" outlineLevel="2">
      <c r="A21" s="15" t="s">
        <v>25</v>
      </c>
      <c r="B21" s="16" t="s">
        <v>17</v>
      </c>
      <c r="C21" s="16" t="s">
        <v>22</v>
      </c>
      <c r="D21" s="16" t="s">
        <v>26</v>
      </c>
      <c r="E21" s="16" t="s">
        <v>20</v>
      </c>
      <c r="F21" s="17">
        <f t="shared" si="1"/>
        <v>3282418</v>
      </c>
      <c r="G21" s="17">
        <f t="shared" si="1"/>
        <v>3425877</v>
      </c>
      <c r="H21" s="17">
        <f t="shared" si="1"/>
        <v>3562913</v>
      </c>
    </row>
    <row r="22" spans="1:8" outlineLevel="3">
      <c r="A22" s="15" t="s">
        <v>27</v>
      </c>
      <c r="B22" s="16" t="s">
        <v>17</v>
      </c>
      <c r="C22" s="16" t="s">
        <v>22</v>
      </c>
      <c r="D22" s="16" t="s">
        <v>28</v>
      </c>
      <c r="E22" s="16" t="s">
        <v>20</v>
      </c>
      <c r="F22" s="17">
        <f t="shared" si="1"/>
        <v>3282418</v>
      </c>
      <c r="G22" s="17">
        <f t="shared" si="1"/>
        <v>3425877</v>
      </c>
      <c r="H22" s="17">
        <f t="shared" si="1"/>
        <v>3562913</v>
      </c>
    </row>
    <row r="23" spans="1:8" ht="63" outlineLevel="3">
      <c r="A23" s="15" t="s">
        <v>29</v>
      </c>
      <c r="B23" s="16" t="s">
        <v>17</v>
      </c>
      <c r="C23" s="16" t="s">
        <v>22</v>
      </c>
      <c r="D23" s="16" t="s">
        <v>28</v>
      </c>
      <c r="E23" s="16" t="s">
        <v>30</v>
      </c>
      <c r="F23" s="17">
        <f t="shared" si="1"/>
        <v>3282418</v>
      </c>
      <c r="G23" s="17">
        <f t="shared" si="1"/>
        <v>3425877</v>
      </c>
      <c r="H23" s="17">
        <f t="shared" si="1"/>
        <v>3562913</v>
      </c>
    </row>
    <row r="24" spans="1:8" ht="31.5" outlineLevel="5">
      <c r="A24" s="15" t="s">
        <v>31</v>
      </c>
      <c r="B24" s="16" t="s">
        <v>17</v>
      </c>
      <c r="C24" s="16" t="s">
        <v>22</v>
      </c>
      <c r="D24" s="16" t="s">
        <v>28</v>
      </c>
      <c r="E24" s="16" t="s">
        <v>32</v>
      </c>
      <c r="F24" s="17">
        <v>3282418</v>
      </c>
      <c r="G24" s="17">
        <v>3425877</v>
      </c>
      <c r="H24" s="17">
        <v>3562913</v>
      </c>
    </row>
    <row r="25" spans="1:8" ht="47.25" outlineLevel="1">
      <c r="A25" s="15" t="s">
        <v>33</v>
      </c>
      <c r="B25" s="16" t="s">
        <v>17</v>
      </c>
      <c r="C25" s="16" t="s">
        <v>34</v>
      </c>
      <c r="D25" s="16" t="s">
        <v>19</v>
      </c>
      <c r="E25" s="16" t="s">
        <v>20</v>
      </c>
      <c r="F25" s="17">
        <f t="shared" ref="F25:H26" si="2">F26</f>
        <v>8614173</v>
      </c>
      <c r="G25" s="17">
        <f t="shared" si="2"/>
        <v>8699848</v>
      </c>
      <c r="H25" s="17">
        <f t="shared" si="2"/>
        <v>8810311</v>
      </c>
    </row>
    <row r="26" spans="1:8" ht="31.5" outlineLevel="1">
      <c r="A26" s="15" t="s">
        <v>23</v>
      </c>
      <c r="B26" s="16" t="s">
        <v>17</v>
      </c>
      <c r="C26" s="16" t="s">
        <v>34</v>
      </c>
      <c r="D26" s="16" t="s">
        <v>24</v>
      </c>
      <c r="E26" s="16" t="s">
        <v>20</v>
      </c>
      <c r="F26" s="17">
        <f t="shared" si="2"/>
        <v>8614173</v>
      </c>
      <c r="G26" s="17">
        <f t="shared" si="2"/>
        <v>8699848</v>
      </c>
      <c r="H26" s="17">
        <f t="shared" si="2"/>
        <v>8810311</v>
      </c>
    </row>
    <row r="27" spans="1:8" ht="31.5" outlineLevel="2">
      <c r="A27" s="15" t="s">
        <v>25</v>
      </c>
      <c r="B27" s="16" t="s">
        <v>17</v>
      </c>
      <c r="C27" s="16" t="s">
        <v>34</v>
      </c>
      <c r="D27" s="16" t="s">
        <v>26</v>
      </c>
      <c r="E27" s="16" t="s">
        <v>20</v>
      </c>
      <c r="F27" s="17">
        <f>F28+F37</f>
        <v>8614173</v>
      </c>
      <c r="G27" s="17">
        <f>G28+G37</f>
        <v>8699848</v>
      </c>
      <c r="H27" s="17">
        <f>H28+H37</f>
        <v>8810311</v>
      </c>
    </row>
    <row r="28" spans="1:8" ht="47.25" outlineLevel="3">
      <c r="A28" s="18" t="s">
        <v>35</v>
      </c>
      <c r="B28" s="16" t="s">
        <v>17</v>
      </c>
      <c r="C28" s="16" t="s">
        <v>34</v>
      </c>
      <c r="D28" s="16" t="s">
        <v>36</v>
      </c>
      <c r="E28" s="16" t="s">
        <v>20</v>
      </c>
      <c r="F28" s="17">
        <f>F29+F31+F35+F33</f>
        <v>5416692</v>
      </c>
      <c r="G28" s="17">
        <f>G29+G31+G35+G33</f>
        <v>5466646</v>
      </c>
      <c r="H28" s="17">
        <f>H29+H31+H35+H33</f>
        <v>5522944</v>
      </c>
    </row>
    <row r="29" spans="1:8" ht="63" outlineLevel="3">
      <c r="A29" s="15" t="s">
        <v>29</v>
      </c>
      <c r="B29" s="16" t="s">
        <v>17</v>
      </c>
      <c r="C29" s="16" t="s">
        <v>34</v>
      </c>
      <c r="D29" s="16" t="s">
        <v>36</v>
      </c>
      <c r="E29" s="16" t="s">
        <v>30</v>
      </c>
      <c r="F29" s="17">
        <f>F30</f>
        <v>4167692</v>
      </c>
      <c r="G29" s="17">
        <f>G30</f>
        <v>4217646</v>
      </c>
      <c r="H29" s="17">
        <f>H30</f>
        <v>4273944</v>
      </c>
    </row>
    <row r="30" spans="1:8" ht="31.5" outlineLevel="5">
      <c r="A30" s="15" t="s">
        <v>31</v>
      </c>
      <c r="B30" s="16" t="s">
        <v>17</v>
      </c>
      <c r="C30" s="16" t="s">
        <v>34</v>
      </c>
      <c r="D30" s="16" t="s">
        <v>36</v>
      </c>
      <c r="E30" s="16" t="s">
        <v>32</v>
      </c>
      <c r="F30" s="17">
        <v>4167692</v>
      </c>
      <c r="G30" s="17">
        <v>4217646</v>
      </c>
      <c r="H30" s="17">
        <v>4273944</v>
      </c>
    </row>
    <row r="31" spans="1:8" ht="31.5" outlineLevel="5">
      <c r="A31" s="15" t="s">
        <v>37</v>
      </c>
      <c r="B31" s="16" t="s">
        <v>17</v>
      </c>
      <c r="C31" s="16" t="s">
        <v>34</v>
      </c>
      <c r="D31" s="16" t="s">
        <v>36</v>
      </c>
      <c r="E31" s="16" t="s">
        <v>38</v>
      </c>
      <c r="F31" s="17">
        <f>F32</f>
        <v>1108000</v>
      </c>
      <c r="G31" s="17">
        <f>G32</f>
        <v>1108000</v>
      </c>
      <c r="H31" s="17">
        <f>H32</f>
        <v>1108000</v>
      </c>
    </row>
    <row r="32" spans="1:8" ht="31.5" outlineLevel="5">
      <c r="A32" s="15" t="s">
        <v>39</v>
      </c>
      <c r="B32" s="16" t="s">
        <v>17</v>
      </c>
      <c r="C32" s="16" t="s">
        <v>34</v>
      </c>
      <c r="D32" s="16" t="s">
        <v>36</v>
      </c>
      <c r="E32" s="16" t="s">
        <v>40</v>
      </c>
      <c r="F32" s="17">
        <v>1108000</v>
      </c>
      <c r="G32" s="17">
        <v>1108000</v>
      </c>
      <c r="H32" s="17">
        <v>1108000</v>
      </c>
    </row>
    <row r="33" spans="1:8" outlineLevel="5">
      <c r="A33" s="15" t="s">
        <v>41</v>
      </c>
      <c r="B33" s="16" t="s">
        <v>17</v>
      </c>
      <c r="C33" s="16" t="s">
        <v>34</v>
      </c>
      <c r="D33" s="16" t="s">
        <v>36</v>
      </c>
      <c r="E33" s="16" t="s">
        <v>42</v>
      </c>
      <c r="F33" s="17">
        <f>F34</f>
        <v>131000</v>
      </c>
      <c r="G33" s="17">
        <f>G34</f>
        <v>131000</v>
      </c>
      <c r="H33" s="17">
        <f>H34</f>
        <v>131000</v>
      </c>
    </row>
    <row r="34" spans="1:8" outlineLevel="5">
      <c r="A34" s="15" t="s">
        <v>43</v>
      </c>
      <c r="B34" s="16" t="s">
        <v>17</v>
      </c>
      <c r="C34" s="16" t="s">
        <v>34</v>
      </c>
      <c r="D34" s="16" t="s">
        <v>36</v>
      </c>
      <c r="E34" s="16" t="s">
        <v>44</v>
      </c>
      <c r="F34" s="17">
        <v>131000</v>
      </c>
      <c r="G34" s="17">
        <v>131000</v>
      </c>
      <c r="H34" s="17">
        <v>131000</v>
      </c>
    </row>
    <row r="35" spans="1:8" outlineLevel="5">
      <c r="A35" s="15" t="s">
        <v>45</v>
      </c>
      <c r="B35" s="16" t="s">
        <v>17</v>
      </c>
      <c r="C35" s="16" t="s">
        <v>34</v>
      </c>
      <c r="D35" s="16" t="s">
        <v>36</v>
      </c>
      <c r="E35" s="16" t="s">
        <v>46</v>
      </c>
      <c r="F35" s="17">
        <f>F36</f>
        <v>10000</v>
      </c>
      <c r="G35" s="17">
        <f>G36</f>
        <v>10000</v>
      </c>
      <c r="H35" s="17">
        <f>H36</f>
        <v>10000</v>
      </c>
    </row>
    <row r="36" spans="1:8" outlineLevel="5">
      <c r="A36" s="15" t="s">
        <v>47</v>
      </c>
      <c r="B36" s="16" t="s">
        <v>17</v>
      </c>
      <c r="C36" s="16" t="s">
        <v>34</v>
      </c>
      <c r="D36" s="16" t="s">
        <v>36</v>
      </c>
      <c r="E36" s="16" t="s">
        <v>48</v>
      </c>
      <c r="F36" s="17">
        <v>10000</v>
      </c>
      <c r="G36" s="17">
        <v>10000</v>
      </c>
      <c r="H36" s="17">
        <v>10000</v>
      </c>
    </row>
    <row r="37" spans="1:8" ht="31.5" outlineLevel="3">
      <c r="A37" s="15" t="s">
        <v>49</v>
      </c>
      <c r="B37" s="16" t="s">
        <v>17</v>
      </c>
      <c r="C37" s="16" t="s">
        <v>34</v>
      </c>
      <c r="D37" s="16" t="s">
        <v>50</v>
      </c>
      <c r="E37" s="16" t="s">
        <v>20</v>
      </c>
      <c r="F37" s="17">
        <f t="shared" ref="F37:H38" si="3">F38</f>
        <v>3197481</v>
      </c>
      <c r="G37" s="17">
        <f t="shared" si="3"/>
        <v>3233202</v>
      </c>
      <c r="H37" s="17">
        <f t="shared" si="3"/>
        <v>3287367</v>
      </c>
    </row>
    <row r="38" spans="1:8" ht="63" outlineLevel="3">
      <c r="A38" s="15" t="s">
        <v>29</v>
      </c>
      <c r="B38" s="16" t="s">
        <v>17</v>
      </c>
      <c r="C38" s="16" t="s">
        <v>34</v>
      </c>
      <c r="D38" s="16" t="s">
        <v>50</v>
      </c>
      <c r="E38" s="16" t="s">
        <v>30</v>
      </c>
      <c r="F38" s="17">
        <f t="shared" si="3"/>
        <v>3197481</v>
      </c>
      <c r="G38" s="17">
        <f t="shared" si="3"/>
        <v>3233202</v>
      </c>
      <c r="H38" s="17">
        <f t="shared" si="3"/>
        <v>3287367</v>
      </c>
    </row>
    <row r="39" spans="1:8" ht="31.5" outlineLevel="5">
      <c r="A39" s="15" t="s">
        <v>31</v>
      </c>
      <c r="B39" s="16" t="s">
        <v>17</v>
      </c>
      <c r="C39" s="16" t="s">
        <v>34</v>
      </c>
      <c r="D39" s="16" t="s">
        <v>50</v>
      </c>
      <c r="E39" s="16" t="s">
        <v>32</v>
      </c>
      <c r="F39" s="17">
        <v>3197481</v>
      </c>
      <c r="G39" s="17">
        <v>3233202</v>
      </c>
      <c r="H39" s="17">
        <v>3287367</v>
      </c>
    </row>
    <row r="40" spans="1:8" ht="47.25" outlineLevel="1">
      <c r="A40" s="15" t="s">
        <v>51</v>
      </c>
      <c r="B40" s="16" t="s">
        <v>17</v>
      </c>
      <c r="C40" s="16" t="s">
        <v>52</v>
      </c>
      <c r="D40" s="16" t="s">
        <v>19</v>
      </c>
      <c r="E40" s="16" t="s">
        <v>20</v>
      </c>
      <c r="F40" s="17">
        <f t="shared" ref="F40:H42" si="4">F41</f>
        <v>132474707</v>
      </c>
      <c r="G40" s="17">
        <f t="shared" si="4"/>
        <v>137725461</v>
      </c>
      <c r="H40" s="17">
        <f t="shared" si="4"/>
        <v>143180719</v>
      </c>
    </row>
    <row r="41" spans="1:8" ht="31.5" outlineLevel="2">
      <c r="A41" s="15" t="s">
        <v>23</v>
      </c>
      <c r="B41" s="16" t="s">
        <v>17</v>
      </c>
      <c r="C41" s="16" t="s">
        <v>52</v>
      </c>
      <c r="D41" s="16" t="s">
        <v>24</v>
      </c>
      <c r="E41" s="16" t="s">
        <v>20</v>
      </c>
      <c r="F41" s="17">
        <f t="shared" si="4"/>
        <v>132474707</v>
      </c>
      <c r="G41" s="17">
        <f t="shared" si="4"/>
        <v>137725461</v>
      </c>
      <c r="H41" s="17">
        <f t="shared" si="4"/>
        <v>143180719</v>
      </c>
    </row>
    <row r="42" spans="1:8" ht="31.5" outlineLevel="2">
      <c r="A42" s="15" t="s">
        <v>25</v>
      </c>
      <c r="B42" s="16" t="s">
        <v>17</v>
      </c>
      <c r="C42" s="16" t="s">
        <v>52</v>
      </c>
      <c r="D42" s="16" t="s">
        <v>26</v>
      </c>
      <c r="E42" s="16" t="s">
        <v>20</v>
      </c>
      <c r="F42" s="17">
        <f t="shared" si="4"/>
        <v>132474707</v>
      </c>
      <c r="G42" s="17">
        <f t="shared" si="4"/>
        <v>137725461</v>
      </c>
      <c r="H42" s="17">
        <f t="shared" si="4"/>
        <v>143180719</v>
      </c>
    </row>
    <row r="43" spans="1:8" ht="35.25" customHeight="1" outlineLevel="3">
      <c r="A43" s="18" t="s">
        <v>35</v>
      </c>
      <c r="B43" s="16" t="s">
        <v>17</v>
      </c>
      <c r="C43" s="16" t="s">
        <v>52</v>
      </c>
      <c r="D43" s="16" t="s">
        <v>36</v>
      </c>
      <c r="E43" s="16" t="s">
        <v>20</v>
      </c>
      <c r="F43" s="17">
        <f>F44+F46+F48</f>
        <v>132474707</v>
      </c>
      <c r="G43" s="17">
        <f>G44+G46+G48</f>
        <v>137725461</v>
      </c>
      <c r="H43" s="17">
        <f>H44+H46+H48</f>
        <v>143180719</v>
      </c>
    </row>
    <row r="44" spans="1:8" ht="63" outlineLevel="3">
      <c r="A44" s="15" t="s">
        <v>29</v>
      </c>
      <c r="B44" s="16" t="s">
        <v>17</v>
      </c>
      <c r="C44" s="16" t="s">
        <v>52</v>
      </c>
      <c r="D44" s="16" t="s">
        <v>36</v>
      </c>
      <c r="E44" s="16" t="s">
        <v>30</v>
      </c>
      <c r="F44" s="17">
        <f>F45</f>
        <v>131179707</v>
      </c>
      <c r="G44" s="17">
        <f>G45</f>
        <v>136890461</v>
      </c>
      <c r="H44" s="17">
        <f>H45</f>
        <v>142345719</v>
      </c>
    </row>
    <row r="45" spans="1:8" ht="31.5" outlineLevel="5">
      <c r="A45" s="15" t="s">
        <v>31</v>
      </c>
      <c r="B45" s="16" t="s">
        <v>17</v>
      </c>
      <c r="C45" s="16" t="s">
        <v>52</v>
      </c>
      <c r="D45" s="16" t="s">
        <v>36</v>
      </c>
      <c r="E45" s="16" t="s">
        <v>32</v>
      </c>
      <c r="F45" s="17">
        <v>131179707</v>
      </c>
      <c r="G45" s="17">
        <v>136890461</v>
      </c>
      <c r="H45" s="17">
        <v>142345719</v>
      </c>
    </row>
    <row r="46" spans="1:8" ht="31.5" outlineLevel="5">
      <c r="A46" s="52" t="s">
        <v>37</v>
      </c>
      <c r="B46" s="53" t="s">
        <v>17</v>
      </c>
      <c r="C46" s="53" t="s">
        <v>52</v>
      </c>
      <c r="D46" s="53" t="s">
        <v>36</v>
      </c>
      <c r="E46" s="53" t="s">
        <v>38</v>
      </c>
      <c r="F46" s="56">
        <f>F47</f>
        <v>1095000</v>
      </c>
      <c r="G46" s="17">
        <f>G47</f>
        <v>635000</v>
      </c>
      <c r="H46" s="17">
        <f>H47</f>
        <v>635000</v>
      </c>
    </row>
    <row r="47" spans="1:8" ht="31.5" outlineLevel="5">
      <c r="A47" s="52" t="s">
        <v>39</v>
      </c>
      <c r="B47" s="53" t="s">
        <v>17</v>
      </c>
      <c r="C47" s="53" t="s">
        <v>52</v>
      </c>
      <c r="D47" s="53" t="s">
        <v>36</v>
      </c>
      <c r="E47" s="53" t="s">
        <v>40</v>
      </c>
      <c r="F47" s="56">
        <f>635000+460000</f>
        <v>1095000</v>
      </c>
      <c r="G47" s="17">
        <v>635000</v>
      </c>
      <c r="H47" s="17">
        <v>635000</v>
      </c>
    </row>
    <row r="48" spans="1:8" outlineLevel="5">
      <c r="A48" s="15" t="s">
        <v>45</v>
      </c>
      <c r="B48" s="16" t="s">
        <v>17</v>
      </c>
      <c r="C48" s="16" t="s">
        <v>52</v>
      </c>
      <c r="D48" s="16" t="s">
        <v>36</v>
      </c>
      <c r="E48" s="16" t="s">
        <v>46</v>
      </c>
      <c r="F48" s="17">
        <f>F49</f>
        <v>200000</v>
      </c>
      <c r="G48" s="17">
        <f>G49</f>
        <v>200000</v>
      </c>
      <c r="H48" s="17">
        <f>H49</f>
        <v>200000</v>
      </c>
    </row>
    <row r="49" spans="1:8" outlineLevel="5">
      <c r="A49" s="15" t="s">
        <v>47</v>
      </c>
      <c r="B49" s="16" t="s">
        <v>17</v>
      </c>
      <c r="C49" s="16" t="s">
        <v>52</v>
      </c>
      <c r="D49" s="16" t="s">
        <v>36</v>
      </c>
      <c r="E49" s="16" t="s">
        <v>48</v>
      </c>
      <c r="F49" s="17">
        <v>200000</v>
      </c>
      <c r="G49" s="17">
        <v>200000</v>
      </c>
      <c r="H49" s="17">
        <v>200000</v>
      </c>
    </row>
    <row r="50" spans="1:8" outlineLevel="5">
      <c r="A50" s="15" t="s">
        <v>53</v>
      </c>
      <c r="B50" s="16" t="s">
        <v>17</v>
      </c>
      <c r="C50" s="16" t="s">
        <v>54</v>
      </c>
      <c r="D50" s="16" t="s">
        <v>19</v>
      </c>
      <c r="E50" s="16" t="s">
        <v>20</v>
      </c>
      <c r="F50" s="17">
        <f t="shared" ref="F50:H54" si="5">F51</f>
        <v>16752</v>
      </c>
      <c r="G50" s="17">
        <f t="shared" si="5"/>
        <v>134525</v>
      </c>
      <c r="H50" s="17">
        <f t="shared" si="5"/>
        <v>17922</v>
      </c>
    </row>
    <row r="51" spans="1:8" ht="31.5" outlineLevel="5">
      <c r="A51" s="15" t="s">
        <v>23</v>
      </c>
      <c r="B51" s="16" t="s">
        <v>17</v>
      </c>
      <c r="C51" s="16" t="s">
        <v>54</v>
      </c>
      <c r="D51" s="16" t="s">
        <v>24</v>
      </c>
      <c r="E51" s="16" t="s">
        <v>20</v>
      </c>
      <c r="F51" s="17">
        <f t="shared" si="5"/>
        <v>16752</v>
      </c>
      <c r="G51" s="17">
        <f t="shared" si="5"/>
        <v>134525</v>
      </c>
      <c r="H51" s="17">
        <f t="shared" si="5"/>
        <v>17922</v>
      </c>
    </row>
    <row r="52" spans="1:8" ht="31.5" outlineLevel="5">
      <c r="A52" s="15" t="s">
        <v>25</v>
      </c>
      <c r="B52" s="16" t="s">
        <v>17</v>
      </c>
      <c r="C52" s="16" t="s">
        <v>54</v>
      </c>
      <c r="D52" s="16" t="s">
        <v>26</v>
      </c>
      <c r="E52" s="16" t="s">
        <v>20</v>
      </c>
      <c r="F52" s="17">
        <f t="shared" si="5"/>
        <v>16752</v>
      </c>
      <c r="G52" s="17">
        <f t="shared" si="5"/>
        <v>134525</v>
      </c>
      <c r="H52" s="17">
        <f t="shared" si="5"/>
        <v>17922</v>
      </c>
    </row>
    <row r="53" spans="1:8" ht="47.25" outlineLevel="5">
      <c r="A53" s="52" t="s">
        <v>55</v>
      </c>
      <c r="B53" s="53" t="s">
        <v>17</v>
      </c>
      <c r="C53" s="53" t="s">
        <v>54</v>
      </c>
      <c r="D53" s="53" t="s">
        <v>56</v>
      </c>
      <c r="E53" s="53" t="s">
        <v>20</v>
      </c>
      <c r="F53" s="56">
        <f t="shared" si="5"/>
        <v>16752</v>
      </c>
      <c r="G53" s="56">
        <f t="shared" si="5"/>
        <v>134525</v>
      </c>
      <c r="H53" s="56">
        <f t="shared" si="5"/>
        <v>17922</v>
      </c>
    </row>
    <row r="54" spans="1:8" ht="31.5" outlineLevel="5">
      <c r="A54" s="52" t="s">
        <v>37</v>
      </c>
      <c r="B54" s="53" t="s">
        <v>17</v>
      </c>
      <c r="C54" s="53" t="s">
        <v>54</v>
      </c>
      <c r="D54" s="53" t="s">
        <v>56</v>
      </c>
      <c r="E54" s="53" t="s">
        <v>38</v>
      </c>
      <c r="F54" s="56">
        <f t="shared" si="5"/>
        <v>16752</v>
      </c>
      <c r="G54" s="56">
        <f t="shared" si="5"/>
        <v>134525</v>
      </c>
      <c r="H54" s="56">
        <f t="shared" si="5"/>
        <v>17922</v>
      </c>
    </row>
    <row r="55" spans="1:8" ht="31.5" outlineLevel="5">
      <c r="A55" s="52" t="s">
        <v>39</v>
      </c>
      <c r="B55" s="53" t="s">
        <v>17</v>
      </c>
      <c r="C55" s="53" t="s">
        <v>54</v>
      </c>
      <c r="D55" s="53" t="s">
        <v>56</v>
      </c>
      <c r="E55" s="53" t="s">
        <v>40</v>
      </c>
      <c r="F55" s="56">
        <f>25952-9200</f>
        <v>16752</v>
      </c>
      <c r="G55" s="56">
        <f>320758-186233</f>
        <v>134525</v>
      </c>
      <c r="H55" s="56">
        <f>25952-8030</f>
        <v>17922</v>
      </c>
    </row>
    <row r="56" spans="1:8" ht="31.5" outlineLevel="1">
      <c r="A56" s="15" t="s">
        <v>57</v>
      </c>
      <c r="B56" s="16" t="s">
        <v>17</v>
      </c>
      <c r="C56" s="16" t="s">
        <v>58</v>
      </c>
      <c r="D56" s="16" t="s">
        <v>19</v>
      </c>
      <c r="E56" s="16" t="s">
        <v>20</v>
      </c>
      <c r="F56" s="17">
        <f t="shared" ref="F56:H57" si="6">F57</f>
        <v>22209979</v>
      </c>
      <c r="G56" s="17">
        <f t="shared" si="6"/>
        <v>22995764</v>
      </c>
      <c r="H56" s="17">
        <f t="shared" si="6"/>
        <v>23696821</v>
      </c>
    </row>
    <row r="57" spans="1:8" ht="31.5" outlineLevel="2">
      <c r="A57" s="15" t="s">
        <v>23</v>
      </c>
      <c r="B57" s="16" t="s">
        <v>17</v>
      </c>
      <c r="C57" s="16" t="s">
        <v>58</v>
      </c>
      <c r="D57" s="16" t="s">
        <v>24</v>
      </c>
      <c r="E57" s="16" t="s">
        <v>20</v>
      </c>
      <c r="F57" s="17">
        <f t="shared" si="6"/>
        <v>22209979</v>
      </c>
      <c r="G57" s="17">
        <f t="shared" si="6"/>
        <v>22995764</v>
      </c>
      <c r="H57" s="17">
        <f t="shared" si="6"/>
        <v>23696821</v>
      </c>
    </row>
    <row r="58" spans="1:8" ht="31.5" outlineLevel="2">
      <c r="A58" s="15" t="s">
        <v>25</v>
      </c>
      <c r="B58" s="16" t="s">
        <v>17</v>
      </c>
      <c r="C58" s="16" t="s">
        <v>58</v>
      </c>
      <c r="D58" s="16" t="s">
        <v>26</v>
      </c>
      <c r="E58" s="16" t="s">
        <v>20</v>
      </c>
      <c r="F58" s="17">
        <f>F59+F66</f>
        <v>22209979</v>
      </c>
      <c r="G58" s="17">
        <f>G59+G66</f>
        <v>22995764</v>
      </c>
      <c r="H58" s="17">
        <f>H59+H66</f>
        <v>23696821</v>
      </c>
    </row>
    <row r="59" spans="1:8" ht="47.25" outlineLevel="3">
      <c r="A59" s="18" t="s">
        <v>35</v>
      </c>
      <c r="B59" s="16" t="s">
        <v>17</v>
      </c>
      <c r="C59" s="16" t="s">
        <v>58</v>
      </c>
      <c r="D59" s="16" t="s">
        <v>36</v>
      </c>
      <c r="E59" s="16" t="s">
        <v>20</v>
      </c>
      <c r="F59" s="17">
        <f>F60+F62+F64</f>
        <v>20358779</v>
      </c>
      <c r="G59" s="17">
        <f>G60+G62+G64</f>
        <v>21126264</v>
      </c>
      <c r="H59" s="17">
        <f>H60+H62+H64</f>
        <v>21808521</v>
      </c>
    </row>
    <row r="60" spans="1:8" ht="63" outlineLevel="3">
      <c r="A60" s="15" t="s">
        <v>29</v>
      </c>
      <c r="B60" s="16" t="s">
        <v>17</v>
      </c>
      <c r="C60" s="16" t="s">
        <v>58</v>
      </c>
      <c r="D60" s="16" t="s">
        <v>36</v>
      </c>
      <c r="E60" s="16" t="s">
        <v>30</v>
      </c>
      <c r="F60" s="17">
        <f>F61</f>
        <v>17351779</v>
      </c>
      <c r="G60" s="17">
        <f>G61</f>
        <v>18119264</v>
      </c>
      <c r="H60" s="17">
        <f>H61</f>
        <v>18801521</v>
      </c>
    </row>
    <row r="61" spans="1:8" ht="31.5" outlineLevel="5">
      <c r="A61" s="15" t="s">
        <v>31</v>
      </c>
      <c r="B61" s="16" t="s">
        <v>17</v>
      </c>
      <c r="C61" s="16" t="s">
        <v>58</v>
      </c>
      <c r="D61" s="16" t="s">
        <v>36</v>
      </c>
      <c r="E61" s="16" t="s">
        <v>32</v>
      </c>
      <c r="F61" s="19">
        <f>13751000+1315500+2285279</f>
        <v>17351779</v>
      </c>
      <c r="G61" s="19">
        <f>14405700+1328400+2385164</f>
        <v>18119264</v>
      </c>
      <c r="H61" s="19">
        <f>14979450+1341500+2480571</f>
        <v>18801521</v>
      </c>
    </row>
    <row r="62" spans="1:8" ht="31.5" outlineLevel="5">
      <c r="A62" s="15" t="s">
        <v>37</v>
      </c>
      <c r="B62" s="16" t="s">
        <v>17</v>
      </c>
      <c r="C62" s="16" t="s">
        <v>58</v>
      </c>
      <c r="D62" s="16" t="s">
        <v>36</v>
      </c>
      <c r="E62" s="16" t="s">
        <v>38</v>
      </c>
      <c r="F62" s="19">
        <f>F63</f>
        <v>3002000</v>
      </c>
      <c r="G62" s="19">
        <f>G63</f>
        <v>3002000</v>
      </c>
      <c r="H62" s="19">
        <f>H63</f>
        <v>3002000</v>
      </c>
    </row>
    <row r="63" spans="1:8" ht="31.5" outlineLevel="5">
      <c r="A63" s="15" t="s">
        <v>39</v>
      </c>
      <c r="B63" s="16" t="s">
        <v>17</v>
      </c>
      <c r="C63" s="16" t="s">
        <v>58</v>
      </c>
      <c r="D63" s="16" t="s">
        <v>36</v>
      </c>
      <c r="E63" s="16" t="s">
        <v>40</v>
      </c>
      <c r="F63" s="19">
        <f>2700000+302000</f>
        <v>3002000</v>
      </c>
      <c r="G63" s="19">
        <f>2700000+302000</f>
        <v>3002000</v>
      </c>
      <c r="H63" s="19">
        <f>2700000+302000</f>
        <v>3002000</v>
      </c>
    </row>
    <row r="64" spans="1:8" outlineLevel="5">
      <c r="A64" s="15" t="s">
        <v>45</v>
      </c>
      <c r="B64" s="16" t="s">
        <v>17</v>
      </c>
      <c r="C64" s="16" t="s">
        <v>58</v>
      </c>
      <c r="D64" s="16" t="s">
        <v>36</v>
      </c>
      <c r="E64" s="16" t="s">
        <v>46</v>
      </c>
      <c r="F64" s="19">
        <f>F65</f>
        <v>5000</v>
      </c>
      <c r="G64" s="19">
        <f>G65</f>
        <v>5000</v>
      </c>
      <c r="H64" s="19">
        <f>H65</f>
        <v>5000</v>
      </c>
    </row>
    <row r="65" spans="1:8" outlineLevel="5">
      <c r="A65" s="15" t="s">
        <v>47</v>
      </c>
      <c r="B65" s="16" t="s">
        <v>17</v>
      </c>
      <c r="C65" s="16" t="s">
        <v>58</v>
      </c>
      <c r="D65" s="16" t="s">
        <v>36</v>
      </c>
      <c r="E65" s="16" t="s">
        <v>48</v>
      </c>
      <c r="F65" s="19">
        <f>5000</f>
        <v>5000</v>
      </c>
      <c r="G65" s="19">
        <f>5000</f>
        <v>5000</v>
      </c>
      <c r="H65" s="19">
        <f>5000</f>
        <v>5000</v>
      </c>
    </row>
    <row r="66" spans="1:8" ht="31.5" outlineLevel="5">
      <c r="A66" s="15" t="s">
        <v>59</v>
      </c>
      <c r="B66" s="16" t="s">
        <v>17</v>
      </c>
      <c r="C66" s="16" t="s">
        <v>58</v>
      </c>
      <c r="D66" s="16" t="s">
        <v>60</v>
      </c>
      <c r="E66" s="16" t="s">
        <v>20</v>
      </c>
      <c r="F66" s="19">
        <f t="shared" ref="F66:H67" si="7">F67</f>
        <v>1851200</v>
      </c>
      <c r="G66" s="19">
        <f t="shared" si="7"/>
        <v>1869500</v>
      </c>
      <c r="H66" s="19">
        <f t="shared" si="7"/>
        <v>1888300</v>
      </c>
    </row>
    <row r="67" spans="1:8" ht="63" outlineLevel="5">
      <c r="A67" s="15" t="s">
        <v>29</v>
      </c>
      <c r="B67" s="16" t="s">
        <v>17</v>
      </c>
      <c r="C67" s="16" t="s">
        <v>58</v>
      </c>
      <c r="D67" s="16" t="s">
        <v>60</v>
      </c>
      <c r="E67" s="16" t="s">
        <v>30</v>
      </c>
      <c r="F67" s="19">
        <f t="shared" si="7"/>
        <v>1851200</v>
      </c>
      <c r="G67" s="19">
        <f t="shared" si="7"/>
        <v>1869500</v>
      </c>
      <c r="H67" s="19">
        <f t="shared" si="7"/>
        <v>1888300</v>
      </c>
    </row>
    <row r="68" spans="1:8" ht="31.5" outlineLevel="5">
      <c r="A68" s="15" t="s">
        <v>31</v>
      </c>
      <c r="B68" s="16" t="s">
        <v>17</v>
      </c>
      <c r="C68" s="16" t="s">
        <v>58</v>
      </c>
      <c r="D68" s="16" t="s">
        <v>60</v>
      </c>
      <c r="E68" s="16" t="s">
        <v>32</v>
      </c>
      <c r="F68" s="19">
        <v>1851200</v>
      </c>
      <c r="G68" s="19">
        <v>1869500</v>
      </c>
      <c r="H68" s="19">
        <v>1888300</v>
      </c>
    </row>
    <row r="69" spans="1:8" outlineLevel="5">
      <c r="A69" s="151" t="s">
        <v>505</v>
      </c>
      <c r="B69" s="152" t="s">
        <v>17</v>
      </c>
      <c r="C69" s="152" t="s">
        <v>289</v>
      </c>
      <c r="D69" s="152" t="s">
        <v>19</v>
      </c>
      <c r="E69" s="152" t="s">
        <v>20</v>
      </c>
      <c r="F69" s="153">
        <f>F70</f>
        <v>1493830</v>
      </c>
      <c r="G69" s="153">
        <f t="shared" ref="G69:H73" si="8">G70</f>
        <v>0</v>
      </c>
      <c r="H69" s="153">
        <f t="shared" si="8"/>
        <v>0</v>
      </c>
    </row>
    <row r="70" spans="1:8" ht="31.5" outlineLevel="5">
      <c r="A70" s="151" t="s">
        <v>23</v>
      </c>
      <c r="B70" s="152" t="s">
        <v>17</v>
      </c>
      <c r="C70" s="152" t="s">
        <v>289</v>
      </c>
      <c r="D70" s="152" t="s">
        <v>24</v>
      </c>
      <c r="E70" s="152" t="s">
        <v>20</v>
      </c>
      <c r="F70" s="153">
        <f>F71</f>
        <v>1493830</v>
      </c>
      <c r="G70" s="153">
        <f t="shared" si="8"/>
        <v>0</v>
      </c>
      <c r="H70" s="153">
        <f t="shared" si="8"/>
        <v>0</v>
      </c>
    </row>
    <row r="71" spans="1:8" ht="31.5" outlineLevel="5">
      <c r="A71" s="151" t="s">
        <v>25</v>
      </c>
      <c r="B71" s="152" t="s">
        <v>17</v>
      </c>
      <c r="C71" s="152" t="s">
        <v>289</v>
      </c>
      <c r="D71" s="152" t="s">
        <v>26</v>
      </c>
      <c r="E71" s="152" t="s">
        <v>20</v>
      </c>
      <c r="F71" s="153">
        <f>F72</f>
        <v>1493830</v>
      </c>
      <c r="G71" s="153">
        <f t="shared" si="8"/>
        <v>0</v>
      </c>
      <c r="H71" s="153">
        <f t="shared" si="8"/>
        <v>0</v>
      </c>
    </row>
    <row r="72" spans="1:8" ht="31.5" outlineLevel="5">
      <c r="A72" s="155" t="s">
        <v>509</v>
      </c>
      <c r="B72" s="156" t="s">
        <v>17</v>
      </c>
      <c r="C72" s="156" t="s">
        <v>289</v>
      </c>
      <c r="D72" s="156" t="s">
        <v>506</v>
      </c>
      <c r="E72" s="156" t="s">
        <v>20</v>
      </c>
      <c r="F72" s="157">
        <f>F73</f>
        <v>1493830</v>
      </c>
      <c r="G72" s="154">
        <f t="shared" si="8"/>
        <v>0</v>
      </c>
      <c r="H72" s="154">
        <f t="shared" si="8"/>
        <v>0</v>
      </c>
    </row>
    <row r="73" spans="1:8" outlineLevel="5">
      <c r="A73" s="158" t="s">
        <v>45</v>
      </c>
      <c r="B73" s="156" t="s">
        <v>17</v>
      </c>
      <c r="C73" s="156" t="s">
        <v>289</v>
      </c>
      <c r="D73" s="156" t="s">
        <v>506</v>
      </c>
      <c r="E73" s="156" t="s">
        <v>46</v>
      </c>
      <c r="F73" s="157">
        <f>F74</f>
        <v>1493830</v>
      </c>
      <c r="G73" s="154">
        <f t="shared" si="8"/>
        <v>0</v>
      </c>
      <c r="H73" s="154">
        <f t="shared" si="8"/>
        <v>0</v>
      </c>
    </row>
    <row r="74" spans="1:8" outlineLevel="5">
      <c r="A74" s="158" t="s">
        <v>507</v>
      </c>
      <c r="B74" s="156" t="s">
        <v>17</v>
      </c>
      <c r="C74" s="156" t="s">
        <v>289</v>
      </c>
      <c r="D74" s="156" t="s">
        <v>506</v>
      </c>
      <c r="E74" s="156" t="s">
        <v>508</v>
      </c>
      <c r="F74" s="157">
        <v>1493830</v>
      </c>
      <c r="G74" s="154">
        <v>0</v>
      </c>
      <c r="H74" s="154">
        <v>0</v>
      </c>
    </row>
    <row r="75" spans="1:8" outlineLevel="5">
      <c r="A75" s="15" t="s">
        <v>61</v>
      </c>
      <c r="B75" s="16" t="s">
        <v>17</v>
      </c>
      <c r="C75" s="16" t="s">
        <v>62</v>
      </c>
      <c r="D75" s="16" t="s">
        <v>19</v>
      </c>
      <c r="E75" s="16" t="s">
        <v>20</v>
      </c>
      <c r="F75" s="19">
        <f t="shared" ref="F75:H79" si="9">F76</f>
        <v>26580000</v>
      </c>
      <c r="G75" s="19">
        <f t="shared" si="9"/>
        <v>27000000</v>
      </c>
      <c r="H75" s="19">
        <f t="shared" si="9"/>
        <v>27000000</v>
      </c>
    </row>
    <row r="76" spans="1:8" ht="31.5" outlineLevel="5">
      <c r="A76" s="15" t="s">
        <v>23</v>
      </c>
      <c r="B76" s="16" t="s">
        <v>17</v>
      </c>
      <c r="C76" s="16" t="s">
        <v>62</v>
      </c>
      <c r="D76" s="16" t="s">
        <v>24</v>
      </c>
      <c r="E76" s="16" t="s">
        <v>20</v>
      </c>
      <c r="F76" s="19">
        <f t="shared" si="9"/>
        <v>26580000</v>
      </c>
      <c r="G76" s="19">
        <f t="shared" si="9"/>
        <v>27000000</v>
      </c>
      <c r="H76" s="19">
        <f t="shared" si="9"/>
        <v>27000000</v>
      </c>
    </row>
    <row r="77" spans="1:8" ht="31.5" outlineLevel="5">
      <c r="A77" s="15" t="s">
        <v>25</v>
      </c>
      <c r="B77" s="16" t="s">
        <v>17</v>
      </c>
      <c r="C77" s="16" t="s">
        <v>62</v>
      </c>
      <c r="D77" s="16" t="s">
        <v>26</v>
      </c>
      <c r="E77" s="16" t="s">
        <v>20</v>
      </c>
      <c r="F77" s="19">
        <f t="shared" si="9"/>
        <v>26580000</v>
      </c>
      <c r="G77" s="19">
        <f t="shared" si="9"/>
        <v>27000000</v>
      </c>
      <c r="H77" s="19">
        <f t="shared" si="9"/>
        <v>27000000</v>
      </c>
    </row>
    <row r="78" spans="1:8" ht="31.5" outlineLevel="5">
      <c r="A78" s="52" t="s">
        <v>63</v>
      </c>
      <c r="B78" s="53" t="s">
        <v>17</v>
      </c>
      <c r="C78" s="53" t="s">
        <v>62</v>
      </c>
      <c r="D78" s="53" t="s">
        <v>64</v>
      </c>
      <c r="E78" s="53" t="s">
        <v>20</v>
      </c>
      <c r="F78" s="55">
        <f t="shared" si="9"/>
        <v>26580000</v>
      </c>
      <c r="G78" s="55">
        <f t="shared" si="9"/>
        <v>27000000</v>
      </c>
      <c r="H78" s="55">
        <f t="shared" si="9"/>
        <v>27000000</v>
      </c>
    </row>
    <row r="79" spans="1:8" outlineLevel="5">
      <c r="A79" s="52" t="s">
        <v>45</v>
      </c>
      <c r="B79" s="53" t="s">
        <v>17</v>
      </c>
      <c r="C79" s="53" t="s">
        <v>62</v>
      </c>
      <c r="D79" s="53" t="s">
        <v>64</v>
      </c>
      <c r="E79" s="53" t="s">
        <v>46</v>
      </c>
      <c r="F79" s="55">
        <f t="shared" si="9"/>
        <v>26580000</v>
      </c>
      <c r="G79" s="55">
        <f t="shared" si="9"/>
        <v>27000000</v>
      </c>
      <c r="H79" s="55">
        <f t="shared" si="9"/>
        <v>27000000</v>
      </c>
    </row>
    <row r="80" spans="1:8" outlineLevel="5">
      <c r="A80" s="52" t="s">
        <v>65</v>
      </c>
      <c r="B80" s="53" t="s">
        <v>17</v>
      </c>
      <c r="C80" s="53" t="s">
        <v>62</v>
      </c>
      <c r="D80" s="53" t="s">
        <v>64</v>
      </c>
      <c r="E80" s="53" t="s">
        <v>66</v>
      </c>
      <c r="F80" s="55">
        <f>27000000-70000-50000-100000-100000-100000</f>
        <v>26580000</v>
      </c>
      <c r="G80" s="55">
        <v>27000000</v>
      </c>
      <c r="H80" s="55">
        <v>27000000</v>
      </c>
    </row>
    <row r="81" spans="1:8" outlineLevel="1">
      <c r="A81" s="15" t="s">
        <v>67</v>
      </c>
      <c r="B81" s="16" t="s">
        <v>17</v>
      </c>
      <c r="C81" s="16" t="s">
        <v>68</v>
      </c>
      <c r="D81" s="16" t="s">
        <v>19</v>
      </c>
      <c r="E81" s="16" t="s">
        <v>20</v>
      </c>
      <c r="F81" s="17">
        <f>F82+F87+F92+F101+F112+F134+F139+F144+F149+F154+F159+F168</f>
        <v>150924300.97999999</v>
      </c>
      <c r="G81" s="17">
        <f>G82+G87+G92+G101+G112+G134+G139+G144+G149+G154+G159+G168</f>
        <v>146821362.08000001</v>
      </c>
      <c r="H81" s="17">
        <f>H82+H87+H92+H101+H112+H134+H139+H144+H149+H154+H159+H168</f>
        <v>151886836.08000001</v>
      </c>
    </row>
    <row r="82" spans="1:8" ht="47.25" outlineLevel="1">
      <c r="A82" s="15" t="s">
        <v>69</v>
      </c>
      <c r="B82" s="16" t="s">
        <v>17</v>
      </c>
      <c r="C82" s="16" t="s">
        <v>68</v>
      </c>
      <c r="D82" s="16" t="s">
        <v>70</v>
      </c>
      <c r="E82" s="16" t="s">
        <v>20</v>
      </c>
      <c r="F82" s="17">
        <f t="shared" ref="F82:H85" si="10">F83</f>
        <v>625000</v>
      </c>
      <c r="G82" s="17">
        <f t="shared" si="10"/>
        <v>640000</v>
      </c>
      <c r="H82" s="17">
        <f t="shared" si="10"/>
        <v>0</v>
      </c>
    </row>
    <row r="83" spans="1:8" ht="47.25" outlineLevel="1">
      <c r="A83" s="15" t="s">
        <v>71</v>
      </c>
      <c r="B83" s="16" t="s">
        <v>17</v>
      </c>
      <c r="C83" s="16" t="s">
        <v>68</v>
      </c>
      <c r="D83" s="16" t="s">
        <v>72</v>
      </c>
      <c r="E83" s="16" t="s">
        <v>20</v>
      </c>
      <c r="F83" s="17">
        <f t="shared" si="10"/>
        <v>625000</v>
      </c>
      <c r="G83" s="17">
        <f t="shared" si="10"/>
        <v>640000</v>
      </c>
      <c r="H83" s="17">
        <f t="shared" si="10"/>
        <v>0</v>
      </c>
    </row>
    <row r="84" spans="1:8" ht="47.25" outlineLevel="1">
      <c r="A84" s="15" t="s">
        <v>73</v>
      </c>
      <c r="B84" s="16" t="s">
        <v>17</v>
      </c>
      <c r="C84" s="16" t="s">
        <v>68</v>
      </c>
      <c r="D84" s="16" t="s">
        <v>74</v>
      </c>
      <c r="E84" s="16" t="s">
        <v>20</v>
      </c>
      <c r="F84" s="17">
        <f t="shared" si="10"/>
        <v>625000</v>
      </c>
      <c r="G84" s="17">
        <f t="shared" si="10"/>
        <v>640000</v>
      </c>
      <c r="H84" s="17">
        <f t="shared" si="10"/>
        <v>0</v>
      </c>
    </row>
    <row r="85" spans="1:8" ht="31.5" outlineLevel="1">
      <c r="A85" s="15" t="s">
        <v>37</v>
      </c>
      <c r="B85" s="16" t="s">
        <v>17</v>
      </c>
      <c r="C85" s="16" t="s">
        <v>68</v>
      </c>
      <c r="D85" s="16" t="s">
        <v>74</v>
      </c>
      <c r="E85" s="16" t="s">
        <v>38</v>
      </c>
      <c r="F85" s="17">
        <f t="shared" si="10"/>
        <v>625000</v>
      </c>
      <c r="G85" s="17">
        <f t="shared" si="10"/>
        <v>640000</v>
      </c>
      <c r="H85" s="17">
        <f t="shared" si="10"/>
        <v>0</v>
      </c>
    </row>
    <row r="86" spans="1:8" ht="31.5" outlineLevel="1">
      <c r="A86" s="15" t="s">
        <v>39</v>
      </c>
      <c r="B86" s="16" t="s">
        <v>17</v>
      </c>
      <c r="C86" s="16" t="s">
        <v>68</v>
      </c>
      <c r="D86" s="16" t="s">
        <v>74</v>
      </c>
      <c r="E86" s="16" t="s">
        <v>40</v>
      </c>
      <c r="F86" s="17">
        <v>625000</v>
      </c>
      <c r="G86" s="17">
        <v>640000</v>
      </c>
      <c r="H86" s="17">
        <v>0</v>
      </c>
    </row>
    <row r="87" spans="1:8" ht="47.25" outlineLevel="1">
      <c r="A87" s="15" t="s">
        <v>75</v>
      </c>
      <c r="B87" s="16" t="s">
        <v>17</v>
      </c>
      <c r="C87" s="16" t="s">
        <v>68</v>
      </c>
      <c r="D87" s="16" t="s">
        <v>76</v>
      </c>
      <c r="E87" s="16" t="s">
        <v>20</v>
      </c>
      <c r="F87" s="17">
        <f t="shared" ref="F87:H90" si="11">F88</f>
        <v>100000</v>
      </c>
      <c r="G87" s="17">
        <f t="shared" si="11"/>
        <v>0</v>
      </c>
      <c r="H87" s="17">
        <f t="shared" si="11"/>
        <v>0</v>
      </c>
    </row>
    <row r="88" spans="1:8" ht="47.25" outlineLevel="1">
      <c r="A88" s="15" t="s">
        <v>77</v>
      </c>
      <c r="B88" s="16" t="s">
        <v>17</v>
      </c>
      <c r="C88" s="16" t="s">
        <v>68</v>
      </c>
      <c r="D88" s="16" t="s">
        <v>78</v>
      </c>
      <c r="E88" s="16" t="s">
        <v>20</v>
      </c>
      <c r="F88" s="17">
        <f t="shared" si="11"/>
        <v>100000</v>
      </c>
      <c r="G88" s="17">
        <f t="shared" si="11"/>
        <v>0</v>
      </c>
      <c r="H88" s="17">
        <f t="shared" si="11"/>
        <v>0</v>
      </c>
    </row>
    <row r="89" spans="1:8" outlineLevel="1">
      <c r="A89" s="15" t="s">
        <v>79</v>
      </c>
      <c r="B89" s="16" t="s">
        <v>17</v>
      </c>
      <c r="C89" s="16" t="s">
        <v>68</v>
      </c>
      <c r="D89" s="16" t="s">
        <v>80</v>
      </c>
      <c r="E89" s="16" t="s">
        <v>20</v>
      </c>
      <c r="F89" s="17">
        <f t="shared" si="11"/>
        <v>100000</v>
      </c>
      <c r="G89" s="17">
        <f t="shared" si="11"/>
        <v>0</v>
      </c>
      <c r="H89" s="17">
        <f t="shared" si="11"/>
        <v>0</v>
      </c>
    </row>
    <row r="90" spans="1:8" ht="31.5" outlineLevel="1">
      <c r="A90" s="15" t="s">
        <v>37</v>
      </c>
      <c r="B90" s="16" t="s">
        <v>17</v>
      </c>
      <c r="C90" s="16" t="s">
        <v>68</v>
      </c>
      <c r="D90" s="16" t="s">
        <v>80</v>
      </c>
      <c r="E90" s="16" t="s">
        <v>38</v>
      </c>
      <c r="F90" s="17">
        <f t="shared" si="11"/>
        <v>100000</v>
      </c>
      <c r="G90" s="17">
        <f t="shared" si="11"/>
        <v>0</v>
      </c>
      <c r="H90" s="17">
        <f t="shared" si="11"/>
        <v>0</v>
      </c>
    </row>
    <row r="91" spans="1:8" ht="31.5" outlineLevel="1">
      <c r="A91" s="15" t="s">
        <v>81</v>
      </c>
      <c r="B91" s="16" t="s">
        <v>17</v>
      </c>
      <c r="C91" s="16" t="s">
        <v>68</v>
      </c>
      <c r="D91" s="16" t="s">
        <v>80</v>
      </c>
      <c r="E91" s="16" t="s">
        <v>40</v>
      </c>
      <c r="F91" s="17">
        <v>100000</v>
      </c>
      <c r="G91" s="17">
        <v>0</v>
      </c>
      <c r="H91" s="17">
        <v>0</v>
      </c>
    </row>
    <row r="92" spans="1:8" ht="47.25" outlineLevel="1">
      <c r="A92" s="20" t="s">
        <v>82</v>
      </c>
      <c r="B92" s="16" t="s">
        <v>17</v>
      </c>
      <c r="C92" s="16" t="s">
        <v>68</v>
      </c>
      <c r="D92" s="16" t="s">
        <v>83</v>
      </c>
      <c r="E92" s="16" t="s">
        <v>20</v>
      </c>
      <c r="F92" s="19">
        <f t="shared" ref="F92:H93" si="12">F93</f>
        <v>21875898</v>
      </c>
      <c r="G92" s="19">
        <f t="shared" si="12"/>
        <v>22712534</v>
      </c>
      <c r="H92" s="19">
        <f t="shared" si="12"/>
        <v>23586600</v>
      </c>
    </row>
    <row r="93" spans="1:8" ht="63" outlineLevel="1">
      <c r="A93" s="20" t="s">
        <v>84</v>
      </c>
      <c r="B93" s="16" t="s">
        <v>17</v>
      </c>
      <c r="C93" s="16" t="s">
        <v>68</v>
      </c>
      <c r="D93" s="16" t="s">
        <v>85</v>
      </c>
      <c r="E93" s="16" t="s">
        <v>20</v>
      </c>
      <c r="F93" s="19">
        <f t="shared" si="12"/>
        <v>21875898</v>
      </c>
      <c r="G93" s="19">
        <f t="shared" si="12"/>
        <v>22712534</v>
      </c>
      <c r="H93" s="19">
        <f t="shared" si="12"/>
        <v>23586600</v>
      </c>
    </row>
    <row r="94" spans="1:8" outlineLevel="1">
      <c r="A94" s="15" t="s">
        <v>86</v>
      </c>
      <c r="B94" s="16" t="s">
        <v>17</v>
      </c>
      <c r="C94" s="16" t="s">
        <v>68</v>
      </c>
      <c r="D94" s="16" t="s">
        <v>87</v>
      </c>
      <c r="E94" s="16" t="s">
        <v>20</v>
      </c>
      <c r="F94" s="19">
        <f>F95+F97+F99</f>
        <v>21875898</v>
      </c>
      <c r="G94" s="19">
        <f>G95+G97+G99</f>
        <v>22712534</v>
      </c>
      <c r="H94" s="19">
        <f>H95+H97+H99</f>
        <v>23586600</v>
      </c>
    </row>
    <row r="95" spans="1:8" ht="63" outlineLevel="1">
      <c r="A95" s="15" t="s">
        <v>29</v>
      </c>
      <c r="B95" s="16" t="s">
        <v>17</v>
      </c>
      <c r="C95" s="16" t="s">
        <v>68</v>
      </c>
      <c r="D95" s="16" t="s">
        <v>87</v>
      </c>
      <c r="E95" s="16" t="s">
        <v>30</v>
      </c>
      <c r="F95" s="19">
        <f>F96</f>
        <v>20915898</v>
      </c>
      <c r="G95" s="19">
        <f>G96</f>
        <v>21752534</v>
      </c>
      <c r="H95" s="19">
        <f>H96</f>
        <v>22626600</v>
      </c>
    </row>
    <row r="96" spans="1:8" outlineLevel="1">
      <c r="A96" s="15" t="s">
        <v>88</v>
      </c>
      <c r="B96" s="16" t="s">
        <v>17</v>
      </c>
      <c r="C96" s="16" t="s">
        <v>68</v>
      </c>
      <c r="D96" s="16" t="s">
        <v>87</v>
      </c>
      <c r="E96" s="16" t="s">
        <v>89</v>
      </c>
      <c r="F96" s="19">
        <v>20915898</v>
      </c>
      <c r="G96" s="19">
        <v>21752534</v>
      </c>
      <c r="H96" s="19">
        <v>22626600</v>
      </c>
    </row>
    <row r="97" spans="1:8" ht="31.5" outlineLevel="1">
      <c r="A97" s="15" t="s">
        <v>37</v>
      </c>
      <c r="B97" s="16" t="s">
        <v>17</v>
      </c>
      <c r="C97" s="16" t="s">
        <v>68</v>
      </c>
      <c r="D97" s="16" t="s">
        <v>87</v>
      </c>
      <c r="E97" s="16" t="s">
        <v>38</v>
      </c>
      <c r="F97" s="19">
        <f>F98</f>
        <v>950000</v>
      </c>
      <c r="G97" s="19">
        <f>G98</f>
        <v>950000</v>
      </c>
      <c r="H97" s="19">
        <f>H98</f>
        <v>950000</v>
      </c>
    </row>
    <row r="98" spans="1:8" ht="31.5" outlineLevel="1">
      <c r="A98" s="15" t="s">
        <v>39</v>
      </c>
      <c r="B98" s="16" t="s">
        <v>17</v>
      </c>
      <c r="C98" s="16" t="s">
        <v>68</v>
      </c>
      <c r="D98" s="16" t="s">
        <v>87</v>
      </c>
      <c r="E98" s="16" t="s">
        <v>40</v>
      </c>
      <c r="F98" s="19">
        <v>950000</v>
      </c>
      <c r="G98" s="19">
        <v>950000</v>
      </c>
      <c r="H98" s="19">
        <v>950000</v>
      </c>
    </row>
    <row r="99" spans="1:8" outlineLevel="1">
      <c r="A99" s="15" t="s">
        <v>45</v>
      </c>
      <c r="B99" s="16" t="s">
        <v>17</v>
      </c>
      <c r="C99" s="16" t="s">
        <v>68</v>
      </c>
      <c r="D99" s="16" t="s">
        <v>87</v>
      </c>
      <c r="E99" s="16" t="s">
        <v>46</v>
      </c>
      <c r="F99" s="19">
        <f>F100</f>
        <v>10000</v>
      </c>
      <c r="G99" s="19">
        <f>G100</f>
        <v>10000</v>
      </c>
      <c r="H99" s="19">
        <f>H100</f>
        <v>10000</v>
      </c>
    </row>
    <row r="100" spans="1:8" outlineLevel="1">
      <c r="A100" s="15" t="s">
        <v>47</v>
      </c>
      <c r="B100" s="16" t="s">
        <v>17</v>
      </c>
      <c r="C100" s="16" t="s">
        <v>68</v>
      </c>
      <c r="D100" s="16" t="s">
        <v>87</v>
      </c>
      <c r="E100" s="16" t="s">
        <v>48</v>
      </c>
      <c r="F100" s="19">
        <v>10000</v>
      </c>
      <c r="G100" s="19">
        <v>10000</v>
      </c>
      <c r="H100" s="19">
        <v>10000</v>
      </c>
    </row>
    <row r="101" spans="1:8" ht="31.5" outlineLevel="1">
      <c r="A101" s="20" t="s">
        <v>90</v>
      </c>
      <c r="B101" s="16" t="s">
        <v>17</v>
      </c>
      <c r="C101" s="16" t="s">
        <v>68</v>
      </c>
      <c r="D101" s="16" t="s">
        <v>91</v>
      </c>
      <c r="E101" s="16" t="s">
        <v>20</v>
      </c>
      <c r="F101" s="17">
        <f>F102</f>
        <v>1600000</v>
      </c>
      <c r="G101" s="17">
        <f>G102</f>
        <v>1600000</v>
      </c>
      <c r="H101" s="17">
        <f>H102</f>
        <v>0</v>
      </c>
    </row>
    <row r="102" spans="1:8" ht="47.25" outlineLevel="1">
      <c r="A102" s="15" t="s">
        <v>92</v>
      </c>
      <c r="B102" s="16" t="s">
        <v>17</v>
      </c>
      <c r="C102" s="16" t="s">
        <v>68</v>
      </c>
      <c r="D102" s="16" t="s">
        <v>93</v>
      </c>
      <c r="E102" s="16" t="s">
        <v>20</v>
      </c>
      <c r="F102" s="17">
        <f>F103+F106+F109</f>
        <v>1600000</v>
      </c>
      <c r="G102" s="17">
        <f>G103+G106+G109</f>
        <v>1600000</v>
      </c>
      <c r="H102" s="17">
        <f>H103+H106+H109</f>
        <v>0</v>
      </c>
    </row>
    <row r="103" spans="1:8" outlineLevel="1">
      <c r="A103" s="15" t="s">
        <v>94</v>
      </c>
      <c r="B103" s="16" t="s">
        <v>17</v>
      </c>
      <c r="C103" s="16" t="s">
        <v>68</v>
      </c>
      <c r="D103" s="16" t="s">
        <v>95</v>
      </c>
      <c r="E103" s="16" t="s">
        <v>20</v>
      </c>
      <c r="F103" s="19">
        <f t="shared" ref="F103:H104" si="13">F104</f>
        <v>200000</v>
      </c>
      <c r="G103" s="19">
        <f t="shared" si="13"/>
        <v>200000</v>
      </c>
      <c r="H103" s="19">
        <f t="shared" si="13"/>
        <v>0</v>
      </c>
    </row>
    <row r="104" spans="1:8" ht="31.5" outlineLevel="1">
      <c r="A104" s="15" t="s">
        <v>37</v>
      </c>
      <c r="B104" s="16" t="s">
        <v>17</v>
      </c>
      <c r="C104" s="16" t="s">
        <v>68</v>
      </c>
      <c r="D104" s="16" t="s">
        <v>95</v>
      </c>
      <c r="E104" s="16" t="s">
        <v>38</v>
      </c>
      <c r="F104" s="19">
        <f t="shared" si="13"/>
        <v>200000</v>
      </c>
      <c r="G104" s="19">
        <f t="shared" si="13"/>
        <v>200000</v>
      </c>
      <c r="H104" s="19">
        <f t="shared" si="13"/>
        <v>0</v>
      </c>
    </row>
    <row r="105" spans="1:8" ht="31.5" outlineLevel="1">
      <c r="A105" s="15" t="s">
        <v>81</v>
      </c>
      <c r="B105" s="16" t="s">
        <v>17</v>
      </c>
      <c r="C105" s="16" t="s">
        <v>68</v>
      </c>
      <c r="D105" s="16" t="s">
        <v>95</v>
      </c>
      <c r="E105" s="16" t="s">
        <v>40</v>
      </c>
      <c r="F105" s="19">
        <v>200000</v>
      </c>
      <c r="G105" s="19">
        <v>200000</v>
      </c>
      <c r="H105" s="19">
        <v>0</v>
      </c>
    </row>
    <row r="106" spans="1:8" ht="47.25" outlineLevel="1">
      <c r="A106" s="15" t="s">
        <v>96</v>
      </c>
      <c r="B106" s="16" t="s">
        <v>17</v>
      </c>
      <c r="C106" s="16" t="s">
        <v>68</v>
      </c>
      <c r="D106" s="16" t="s">
        <v>97</v>
      </c>
      <c r="E106" s="16" t="s">
        <v>20</v>
      </c>
      <c r="F106" s="17">
        <f t="shared" ref="F106:H107" si="14">F107</f>
        <v>1300000</v>
      </c>
      <c r="G106" s="17">
        <f t="shared" si="14"/>
        <v>1300000</v>
      </c>
      <c r="H106" s="17">
        <f t="shared" si="14"/>
        <v>0</v>
      </c>
    </row>
    <row r="107" spans="1:8" ht="31.5" outlineLevel="1">
      <c r="A107" s="15" t="s">
        <v>37</v>
      </c>
      <c r="B107" s="16" t="s">
        <v>17</v>
      </c>
      <c r="C107" s="16" t="s">
        <v>68</v>
      </c>
      <c r="D107" s="16" t="s">
        <v>97</v>
      </c>
      <c r="E107" s="16" t="s">
        <v>38</v>
      </c>
      <c r="F107" s="17">
        <f t="shared" si="14"/>
        <v>1300000</v>
      </c>
      <c r="G107" s="17">
        <f t="shared" si="14"/>
        <v>1300000</v>
      </c>
      <c r="H107" s="17">
        <f t="shared" si="14"/>
        <v>0</v>
      </c>
    </row>
    <row r="108" spans="1:8" ht="31.5" outlineLevel="1">
      <c r="A108" s="15" t="s">
        <v>81</v>
      </c>
      <c r="B108" s="16" t="s">
        <v>17</v>
      </c>
      <c r="C108" s="16" t="s">
        <v>68</v>
      </c>
      <c r="D108" s="16" t="s">
        <v>97</v>
      </c>
      <c r="E108" s="16" t="s">
        <v>40</v>
      </c>
      <c r="F108" s="17">
        <v>1300000</v>
      </c>
      <c r="G108" s="17">
        <v>1300000</v>
      </c>
      <c r="H108" s="17">
        <v>0</v>
      </c>
    </row>
    <row r="109" spans="1:8" outlineLevel="1">
      <c r="A109" s="15" t="s">
        <v>98</v>
      </c>
      <c r="B109" s="16" t="s">
        <v>17</v>
      </c>
      <c r="C109" s="16" t="s">
        <v>68</v>
      </c>
      <c r="D109" s="16" t="s">
        <v>99</v>
      </c>
      <c r="E109" s="16" t="s">
        <v>20</v>
      </c>
      <c r="F109" s="19">
        <f t="shared" ref="F109:H110" si="15">F110</f>
        <v>100000</v>
      </c>
      <c r="G109" s="19">
        <f t="shared" si="15"/>
        <v>100000</v>
      </c>
      <c r="H109" s="19">
        <f t="shared" si="15"/>
        <v>0</v>
      </c>
    </row>
    <row r="110" spans="1:8" ht="31.5" outlineLevel="1">
      <c r="A110" s="15" t="s">
        <v>37</v>
      </c>
      <c r="B110" s="16" t="s">
        <v>17</v>
      </c>
      <c r="C110" s="16" t="s">
        <v>68</v>
      </c>
      <c r="D110" s="16" t="s">
        <v>99</v>
      </c>
      <c r="E110" s="16" t="s">
        <v>38</v>
      </c>
      <c r="F110" s="19">
        <f t="shared" si="15"/>
        <v>100000</v>
      </c>
      <c r="G110" s="19">
        <f t="shared" si="15"/>
        <v>100000</v>
      </c>
      <c r="H110" s="19">
        <f t="shared" si="15"/>
        <v>0</v>
      </c>
    </row>
    <row r="111" spans="1:8" ht="31.5" outlineLevel="1">
      <c r="A111" s="15" t="s">
        <v>81</v>
      </c>
      <c r="B111" s="16" t="s">
        <v>17</v>
      </c>
      <c r="C111" s="16" t="s">
        <v>68</v>
      </c>
      <c r="D111" s="16" t="s">
        <v>99</v>
      </c>
      <c r="E111" s="16" t="s">
        <v>40</v>
      </c>
      <c r="F111" s="19">
        <v>100000</v>
      </c>
      <c r="G111" s="19">
        <v>100000</v>
      </c>
      <c r="H111" s="19">
        <v>0</v>
      </c>
    </row>
    <row r="112" spans="1:8" ht="31.5" outlineLevel="1">
      <c r="A112" s="20" t="s">
        <v>100</v>
      </c>
      <c r="B112" s="16" t="s">
        <v>17</v>
      </c>
      <c r="C112" s="16" t="s">
        <v>68</v>
      </c>
      <c r="D112" s="16" t="s">
        <v>101</v>
      </c>
      <c r="E112" s="16" t="s">
        <v>20</v>
      </c>
      <c r="F112" s="19">
        <f>F113</f>
        <v>57953210</v>
      </c>
      <c r="G112" s="19">
        <f>G113</f>
        <v>54015202</v>
      </c>
      <c r="H112" s="19">
        <f>H113</f>
        <v>54673547</v>
      </c>
    </row>
    <row r="113" spans="1:8" ht="35.25" customHeight="1" outlineLevel="1">
      <c r="A113" s="20" t="s">
        <v>102</v>
      </c>
      <c r="B113" s="16" t="s">
        <v>17</v>
      </c>
      <c r="C113" s="16" t="s">
        <v>68</v>
      </c>
      <c r="D113" s="16" t="s">
        <v>103</v>
      </c>
      <c r="E113" s="16" t="s">
        <v>20</v>
      </c>
      <c r="F113" s="19">
        <f>F114+F117+F120+F123+F126</f>
        <v>57953210</v>
      </c>
      <c r="G113" s="19">
        <f>G114+G117+G120+G123+G126</f>
        <v>54015202</v>
      </c>
      <c r="H113" s="19">
        <f>H114+H117+H120+H123+H126</f>
        <v>54673547</v>
      </c>
    </row>
    <row r="114" spans="1:8" ht="49.5" customHeight="1" outlineLevel="1">
      <c r="A114" s="15" t="s">
        <v>104</v>
      </c>
      <c r="B114" s="16" t="s">
        <v>17</v>
      </c>
      <c r="C114" s="16" t="s">
        <v>68</v>
      </c>
      <c r="D114" s="16" t="s">
        <v>105</v>
      </c>
      <c r="E114" s="16" t="s">
        <v>20</v>
      </c>
      <c r="F114" s="21">
        <f t="shared" ref="F114:H115" si="16">F115</f>
        <v>1500000</v>
      </c>
      <c r="G114" s="21">
        <f t="shared" si="16"/>
        <v>0</v>
      </c>
      <c r="H114" s="21">
        <f t="shared" si="16"/>
        <v>0</v>
      </c>
    </row>
    <row r="115" spans="1:8" ht="31.5" outlineLevel="1">
      <c r="A115" s="15" t="s">
        <v>37</v>
      </c>
      <c r="B115" s="16" t="s">
        <v>17</v>
      </c>
      <c r="C115" s="16" t="s">
        <v>68</v>
      </c>
      <c r="D115" s="16" t="s">
        <v>105</v>
      </c>
      <c r="E115" s="16" t="s">
        <v>38</v>
      </c>
      <c r="F115" s="21">
        <f t="shared" si="16"/>
        <v>1500000</v>
      </c>
      <c r="G115" s="21">
        <f t="shared" si="16"/>
        <v>0</v>
      </c>
      <c r="H115" s="21">
        <f t="shared" si="16"/>
        <v>0</v>
      </c>
    </row>
    <row r="116" spans="1:8" ht="31.5" outlineLevel="1">
      <c r="A116" s="15" t="s">
        <v>39</v>
      </c>
      <c r="B116" s="16" t="s">
        <v>17</v>
      </c>
      <c r="C116" s="16" t="s">
        <v>68</v>
      </c>
      <c r="D116" s="16" t="s">
        <v>105</v>
      </c>
      <c r="E116" s="16" t="s">
        <v>40</v>
      </c>
      <c r="F116" s="21">
        <v>1500000</v>
      </c>
      <c r="G116" s="21">
        <v>0</v>
      </c>
      <c r="H116" s="21">
        <v>0</v>
      </c>
    </row>
    <row r="117" spans="1:8" ht="31.5" outlineLevel="1">
      <c r="A117" s="15" t="s">
        <v>106</v>
      </c>
      <c r="B117" s="16" t="s">
        <v>17</v>
      </c>
      <c r="C117" s="16" t="s">
        <v>68</v>
      </c>
      <c r="D117" s="16" t="s">
        <v>107</v>
      </c>
      <c r="E117" s="16" t="s">
        <v>20</v>
      </c>
      <c r="F117" s="21">
        <f t="shared" ref="F117:H118" si="17">F118</f>
        <v>2500000</v>
      </c>
      <c r="G117" s="21">
        <f t="shared" si="17"/>
        <v>0</v>
      </c>
      <c r="H117" s="21">
        <f t="shared" si="17"/>
        <v>0</v>
      </c>
    </row>
    <row r="118" spans="1:8" ht="31.5" outlineLevel="1">
      <c r="A118" s="15" t="s">
        <v>37</v>
      </c>
      <c r="B118" s="16" t="s">
        <v>17</v>
      </c>
      <c r="C118" s="16" t="s">
        <v>68</v>
      </c>
      <c r="D118" s="16" t="s">
        <v>107</v>
      </c>
      <c r="E118" s="16" t="s">
        <v>38</v>
      </c>
      <c r="F118" s="21">
        <f t="shared" si="17"/>
        <v>2500000</v>
      </c>
      <c r="G118" s="21">
        <f t="shared" si="17"/>
        <v>0</v>
      </c>
      <c r="H118" s="21">
        <f t="shared" si="17"/>
        <v>0</v>
      </c>
    </row>
    <row r="119" spans="1:8" ht="31.5" outlineLevel="1">
      <c r="A119" s="15" t="s">
        <v>81</v>
      </c>
      <c r="B119" s="16" t="s">
        <v>17</v>
      </c>
      <c r="C119" s="16" t="s">
        <v>68</v>
      </c>
      <c r="D119" s="16" t="s">
        <v>107</v>
      </c>
      <c r="E119" s="16" t="s">
        <v>40</v>
      </c>
      <c r="F119" s="21">
        <v>2500000</v>
      </c>
      <c r="G119" s="21">
        <v>0</v>
      </c>
      <c r="H119" s="21">
        <v>0</v>
      </c>
    </row>
    <row r="120" spans="1:8" outlineLevel="1">
      <c r="A120" s="15" t="s">
        <v>108</v>
      </c>
      <c r="B120" s="16" t="s">
        <v>17</v>
      </c>
      <c r="C120" s="16" t="s">
        <v>68</v>
      </c>
      <c r="D120" s="16" t="s">
        <v>109</v>
      </c>
      <c r="E120" s="16" t="s">
        <v>20</v>
      </c>
      <c r="F120" s="21">
        <f t="shared" ref="F120:H121" si="18">F121</f>
        <v>150000</v>
      </c>
      <c r="G120" s="21">
        <f t="shared" si="18"/>
        <v>0</v>
      </c>
      <c r="H120" s="21">
        <f t="shared" si="18"/>
        <v>0</v>
      </c>
    </row>
    <row r="121" spans="1:8" outlineLevel="1">
      <c r="A121" s="15" t="s">
        <v>45</v>
      </c>
      <c r="B121" s="16" t="s">
        <v>17</v>
      </c>
      <c r="C121" s="16" t="s">
        <v>68</v>
      </c>
      <c r="D121" s="16" t="s">
        <v>109</v>
      </c>
      <c r="E121" s="16" t="s">
        <v>46</v>
      </c>
      <c r="F121" s="21">
        <f t="shared" si="18"/>
        <v>150000</v>
      </c>
      <c r="G121" s="21">
        <f t="shared" si="18"/>
        <v>0</v>
      </c>
      <c r="H121" s="21">
        <f t="shared" si="18"/>
        <v>0</v>
      </c>
    </row>
    <row r="122" spans="1:8" outlineLevel="1">
      <c r="A122" s="15" t="s">
        <v>47</v>
      </c>
      <c r="B122" s="16" t="s">
        <v>17</v>
      </c>
      <c r="C122" s="16" t="s">
        <v>68</v>
      </c>
      <c r="D122" s="16" t="s">
        <v>109</v>
      </c>
      <c r="E122" s="16" t="s">
        <v>48</v>
      </c>
      <c r="F122" s="21">
        <v>150000</v>
      </c>
      <c r="G122" s="21">
        <v>0</v>
      </c>
      <c r="H122" s="21">
        <v>0</v>
      </c>
    </row>
    <row r="123" spans="1:8" outlineLevel="1">
      <c r="A123" s="15" t="s">
        <v>110</v>
      </c>
      <c r="B123" s="16" t="s">
        <v>17</v>
      </c>
      <c r="C123" s="16" t="s">
        <v>68</v>
      </c>
      <c r="D123" s="16" t="s">
        <v>111</v>
      </c>
      <c r="E123" s="16" t="s">
        <v>20</v>
      </c>
      <c r="F123" s="19">
        <f t="shared" ref="F123:H124" si="19">F124</f>
        <v>500000</v>
      </c>
      <c r="G123" s="19">
        <f t="shared" si="19"/>
        <v>0</v>
      </c>
      <c r="H123" s="19">
        <f t="shared" si="19"/>
        <v>0</v>
      </c>
    </row>
    <row r="124" spans="1:8" ht="31.5" outlineLevel="1">
      <c r="A124" s="15" t="s">
        <v>37</v>
      </c>
      <c r="B124" s="16" t="s">
        <v>17</v>
      </c>
      <c r="C124" s="16" t="s">
        <v>68</v>
      </c>
      <c r="D124" s="16" t="s">
        <v>111</v>
      </c>
      <c r="E124" s="16" t="s">
        <v>38</v>
      </c>
      <c r="F124" s="19">
        <f t="shared" si="19"/>
        <v>500000</v>
      </c>
      <c r="G124" s="19">
        <f t="shared" si="19"/>
        <v>0</v>
      </c>
      <c r="H124" s="19">
        <f t="shared" si="19"/>
        <v>0</v>
      </c>
    </row>
    <row r="125" spans="1:8" ht="31.5" outlineLevel="1">
      <c r="A125" s="15" t="s">
        <v>81</v>
      </c>
      <c r="B125" s="16" t="s">
        <v>17</v>
      </c>
      <c r="C125" s="16" t="s">
        <v>68</v>
      </c>
      <c r="D125" s="16" t="s">
        <v>111</v>
      </c>
      <c r="E125" s="16" t="s">
        <v>40</v>
      </c>
      <c r="F125" s="19">
        <v>500000</v>
      </c>
      <c r="G125" s="19">
        <v>0</v>
      </c>
      <c r="H125" s="19">
        <v>0</v>
      </c>
    </row>
    <row r="126" spans="1:8" ht="31.5" outlineLevel="1">
      <c r="A126" s="15" t="s">
        <v>112</v>
      </c>
      <c r="B126" s="16" t="s">
        <v>17</v>
      </c>
      <c r="C126" s="16" t="s">
        <v>68</v>
      </c>
      <c r="D126" s="16" t="s">
        <v>113</v>
      </c>
      <c r="E126" s="16" t="s">
        <v>20</v>
      </c>
      <c r="F126" s="19">
        <f>F127</f>
        <v>53303210</v>
      </c>
      <c r="G126" s="19">
        <f>G127</f>
        <v>54015202</v>
      </c>
      <c r="H126" s="19">
        <f>H127</f>
        <v>54673547</v>
      </c>
    </row>
    <row r="127" spans="1:8" outlineLevel="1">
      <c r="A127" s="15" t="s">
        <v>114</v>
      </c>
      <c r="B127" s="16" t="s">
        <v>17</v>
      </c>
      <c r="C127" s="16" t="s">
        <v>68</v>
      </c>
      <c r="D127" s="16" t="s">
        <v>115</v>
      </c>
      <c r="E127" s="16" t="s">
        <v>20</v>
      </c>
      <c r="F127" s="19">
        <f>F128+F130+F132</f>
        <v>53303210</v>
      </c>
      <c r="G127" s="19">
        <f>G128+G130+G132</f>
        <v>54015202</v>
      </c>
      <c r="H127" s="19">
        <f>H128+H130+H132</f>
        <v>54673547</v>
      </c>
    </row>
    <row r="128" spans="1:8" ht="63" outlineLevel="1">
      <c r="A128" s="15" t="s">
        <v>29</v>
      </c>
      <c r="B128" s="16" t="s">
        <v>17</v>
      </c>
      <c r="C128" s="16" t="s">
        <v>68</v>
      </c>
      <c r="D128" s="16" t="s">
        <v>115</v>
      </c>
      <c r="E128" s="16" t="s">
        <v>30</v>
      </c>
      <c r="F128" s="19">
        <f>F129</f>
        <v>38716210</v>
      </c>
      <c r="G128" s="19">
        <f>G129</f>
        <v>39428202</v>
      </c>
      <c r="H128" s="19">
        <f>H129</f>
        <v>40086547</v>
      </c>
    </row>
    <row r="129" spans="1:8" outlineLevel="1">
      <c r="A129" s="15" t="s">
        <v>88</v>
      </c>
      <c r="B129" s="16" t="s">
        <v>17</v>
      </c>
      <c r="C129" s="16" t="s">
        <v>68</v>
      </c>
      <c r="D129" s="16" t="s">
        <v>115</v>
      </c>
      <c r="E129" s="16" t="s">
        <v>89</v>
      </c>
      <c r="F129" s="19">
        <f>38816210-100000</f>
        <v>38716210</v>
      </c>
      <c r="G129" s="19">
        <f>39528202-100000</f>
        <v>39428202</v>
      </c>
      <c r="H129" s="19">
        <f>40186547-100000</f>
        <v>40086547</v>
      </c>
    </row>
    <row r="130" spans="1:8" ht="31.5" outlineLevel="1">
      <c r="A130" s="15" t="s">
        <v>37</v>
      </c>
      <c r="B130" s="16" t="s">
        <v>17</v>
      </c>
      <c r="C130" s="16" t="s">
        <v>68</v>
      </c>
      <c r="D130" s="16" t="s">
        <v>115</v>
      </c>
      <c r="E130" s="16" t="s">
        <v>38</v>
      </c>
      <c r="F130" s="19">
        <f>F131</f>
        <v>14362000</v>
      </c>
      <c r="G130" s="19">
        <f>G131</f>
        <v>14362000</v>
      </c>
      <c r="H130" s="19">
        <f>H131</f>
        <v>14362000</v>
      </c>
    </row>
    <row r="131" spans="1:8" ht="31.5" outlineLevel="1">
      <c r="A131" s="15" t="s">
        <v>39</v>
      </c>
      <c r="B131" s="16" t="s">
        <v>17</v>
      </c>
      <c r="C131" s="16" t="s">
        <v>68</v>
      </c>
      <c r="D131" s="16" t="s">
        <v>115</v>
      </c>
      <c r="E131" s="16" t="s">
        <v>40</v>
      </c>
      <c r="F131" s="19">
        <f>14262000+100000</f>
        <v>14362000</v>
      </c>
      <c r="G131" s="19">
        <f>14262000+100000</f>
        <v>14362000</v>
      </c>
      <c r="H131" s="19">
        <f>14262000+100000</f>
        <v>14362000</v>
      </c>
    </row>
    <row r="132" spans="1:8" outlineLevel="1">
      <c r="A132" s="15" t="s">
        <v>45</v>
      </c>
      <c r="B132" s="16" t="s">
        <v>17</v>
      </c>
      <c r="C132" s="16" t="s">
        <v>68</v>
      </c>
      <c r="D132" s="16" t="s">
        <v>115</v>
      </c>
      <c r="E132" s="16" t="s">
        <v>46</v>
      </c>
      <c r="F132" s="19">
        <f>F133</f>
        <v>225000</v>
      </c>
      <c r="G132" s="19">
        <f>G133</f>
        <v>225000</v>
      </c>
      <c r="H132" s="19">
        <f>H133</f>
        <v>225000</v>
      </c>
    </row>
    <row r="133" spans="1:8" outlineLevel="1">
      <c r="A133" s="15" t="s">
        <v>47</v>
      </c>
      <c r="B133" s="16" t="s">
        <v>17</v>
      </c>
      <c r="C133" s="16" t="s">
        <v>68</v>
      </c>
      <c r="D133" s="16" t="s">
        <v>115</v>
      </c>
      <c r="E133" s="16" t="s">
        <v>48</v>
      </c>
      <c r="F133" s="19">
        <v>225000</v>
      </c>
      <c r="G133" s="19">
        <v>225000</v>
      </c>
      <c r="H133" s="19">
        <v>225000</v>
      </c>
    </row>
    <row r="134" spans="1:8" ht="31.5" outlineLevel="1">
      <c r="A134" s="15" t="s">
        <v>116</v>
      </c>
      <c r="B134" s="16" t="s">
        <v>17</v>
      </c>
      <c r="C134" s="16" t="s">
        <v>68</v>
      </c>
      <c r="D134" s="16" t="s">
        <v>117</v>
      </c>
      <c r="E134" s="16" t="s">
        <v>20</v>
      </c>
      <c r="F134" s="19">
        <f t="shared" ref="F134:H137" si="20">F135</f>
        <v>429000</v>
      </c>
      <c r="G134" s="19">
        <f t="shared" si="20"/>
        <v>105000</v>
      </c>
      <c r="H134" s="19">
        <f t="shared" si="20"/>
        <v>0</v>
      </c>
    </row>
    <row r="135" spans="1:8" ht="47.25" outlineLevel="1">
      <c r="A135" s="15" t="s">
        <v>118</v>
      </c>
      <c r="B135" s="16" t="s">
        <v>17</v>
      </c>
      <c r="C135" s="16" t="s">
        <v>68</v>
      </c>
      <c r="D135" s="16" t="s">
        <v>119</v>
      </c>
      <c r="E135" s="16" t="s">
        <v>20</v>
      </c>
      <c r="F135" s="19">
        <f t="shared" si="20"/>
        <v>429000</v>
      </c>
      <c r="G135" s="19">
        <f t="shared" si="20"/>
        <v>105000</v>
      </c>
      <c r="H135" s="19">
        <f t="shared" si="20"/>
        <v>0</v>
      </c>
    </row>
    <row r="136" spans="1:8" ht="31.5" outlineLevel="1">
      <c r="A136" s="52" t="s">
        <v>120</v>
      </c>
      <c r="B136" s="53" t="s">
        <v>17</v>
      </c>
      <c r="C136" s="53" t="s">
        <v>68</v>
      </c>
      <c r="D136" s="53" t="s">
        <v>121</v>
      </c>
      <c r="E136" s="53" t="s">
        <v>20</v>
      </c>
      <c r="F136" s="55">
        <f t="shared" si="20"/>
        <v>429000</v>
      </c>
      <c r="G136" s="19">
        <f t="shared" si="20"/>
        <v>105000</v>
      </c>
      <c r="H136" s="19">
        <f t="shared" si="20"/>
        <v>0</v>
      </c>
    </row>
    <row r="137" spans="1:8" ht="31.5" outlineLevel="1">
      <c r="A137" s="52" t="s">
        <v>37</v>
      </c>
      <c r="B137" s="53" t="s">
        <v>17</v>
      </c>
      <c r="C137" s="53" t="s">
        <v>68</v>
      </c>
      <c r="D137" s="53" t="s">
        <v>121</v>
      </c>
      <c r="E137" s="53" t="s">
        <v>38</v>
      </c>
      <c r="F137" s="55">
        <f t="shared" si="20"/>
        <v>429000</v>
      </c>
      <c r="G137" s="19">
        <f t="shared" si="20"/>
        <v>105000</v>
      </c>
      <c r="H137" s="19">
        <f t="shared" si="20"/>
        <v>0</v>
      </c>
    </row>
    <row r="138" spans="1:8" ht="31.5" outlineLevel="1">
      <c r="A138" s="52" t="s">
        <v>39</v>
      </c>
      <c r="B138" s="53" t="s">
        <v>17</v>
      </c>
      <c r="C138" s="53" t="s">
        <v>68</v>
      </c>
      <c r="D138" s="53" t="s">
        <v>121</v>
      </c>
      <c r="E138" s="53" t="s">
        <v>40</v>
      </c>
      <c r="F138" s="55">
        <f>105000+324000</f>
        <v>429000</v>
      </c>
      <c r="G138" s="19">
        <v>105000</v>
      </c>
      <c r="H138" s="19">
        <v>0</v>
      </c>
    </row>
    <row r="139" spans="1:8" ht="47.25" outlineLevel="1">
      <c r="A139" s="15" t="s">
        <v>122</v>
      </c>
      <c r="B139" s="16" t="s">
        <v>17</v>
      </c>
      <c r="C139" s="16" t="s">
        <v>68</v>
      </c>
      <c r="D139" s="16" t="s">
        <v>123</v>
      </c>
      <c r="E139" s="16" t="s">
        <v>20</v>
      </c>
      <c r="F139" s="17">
        <f t="shared" ref="F139:H142" si="21">F140</f>
        <v>7500</v>
      </c>
      <c r="G139" s="17">
        <f t="shared" si="21"/>
        <v>7500</v>
      </c>
      <c r="H139" s="17">
        <f t="shared" si="21"/>
        <v>0</v>
      </c>
    </row>
    <row r="140" spans="1:8" ht="47.25" outlineLevel="1">
      <c r="A140" s="15" t="s">
        <v>124</v>
      </c>
      <c r="B140" s="16" t="s">
        <v>17</v>
      </c>
      <c r="C140" s="16" t="s">
        <v>68</v>
      </c>
      <c r="D140" s="16" t="s">
        <v>125</v>
      </c>
      <c r="E140" s="16" t="s">
        <v>20</v>
      </c>
      <c r="F140" s="17">
        <f t="shared" si="21"/>
        <v>7500</v>
      </c>
      <c r="G140" s="17">
        <f t="shared" si="21"/>
        <v>7500</v>
      </c>
      <c r="H140" s="17">
        <f t="shared" si="21"/>
        <v>0</v>
      </c>
    </row>
    <row r="141" spans="1:8" ht="31.5" outlineLevel="1">
      <c r="A141" s="15" t="s">
        <v>126</v>
      </c>
      <c r="B141" s="16" t="s">
        <v>17</v>
      </c>
      <c r="C141" s="16" t="s">
        <v>68</v>
      </c>
      <c r="D141" s="16" t="s">
        <v>127</v>
      </c>
      <c r="E141" s="16" t="s">
        <v>20</v>
      </c>
      <c r="F141" s="17">
        <f t="shared" si="21"/>
        <v>7500</v>
      </c>
      <c r="G141" s="17">
        <f t="shared" si="21"/>
        <v>7500</v>
      </c>
      <c r="H141" s="17">
        <f t="shared" si="21"/>
        <v>0</v>
      </c>
    </row>
    <row r="142" spans="1:8" ht="31.5" outlineLevel="1">
      <c r="A142" s="15" t="s">
        <v>37</v>
      </c>
      <c r="B142" s="16" t="s">
        <v>17</v>
      </c>
      <c r="C142" s="16" t="s">
        <v>68</v>
      </c>
      <c r="D142" s="16" t="s">
        <v>127</v>
      </c>
      <c r="E142" s="16" t="s">
        <v>38</v>
      </c>
      <c r="F142" s="17">
        <f t="shared" si="21"/>
        <v>7500</v>
      </c>
      <c r="G142" s="17">
        <f t="shared" si="21"/>
        <v>7500</v>
      </c>
      <c r="H142" s="17">
        <f t="shared" si="21"/>
        <v>0</v>
      </c>
    </row>
    <row r="143" spans="1:8" ht="31.5" outlineLevel="1">
      <c r="A143" s="15" t="s">
        <v>39</v>
      </c>
      <c r="B143" s="16" t="s">
        <v>17</v>
      </c>
      <c r="C143" s="16" t="s">
        <v>68</v>
      </c>
      <c r="D143" s="16" t="s">
        <v>127</v>
      </c>
      <c r="E143" s="16" t="s">
        <v>40</v>
      </c>
      <c r="F143" s="17">
        <v>7500</v>
      </c>
      <c r="G143" s="17">
        <v>7500</v>
      </c>
      <c r="H143" s="17">
        <v>0</v>
      </c>
    </row>
    <row r="144" spans="1:8" ht="31.5" outlineLevel="1">
      <c r="A144" s="15" t="s">
        <v>128</v>
      </c>
      <c r="B144" s="16" t="s">
        <v>17</v>
      </c>
      <c r="C144" s="16" t="s">
        <v>68</v>
      </c>
      <c r="D144" s="16" t="s">
        <v>129</v>
      </c>
      <c r="E144" s="16" t="s">
        <v>20</v>
      </c>
      <c r="F144" s="17">
        <f t="shared" ref="F144:H147" si="22">F145</f>
        <v>105000</v>
      </c>
      <c r="G144" s="17">
        <f t="shared" si="22"/>
        <v>45000</v>
      </c>
      <c r="H144" s="17">
        <f t="shared" si="22"/>
        <v>100000</v>
      </c>
    </row>
    <row r="145" spans="1:8" ht="31.5" outlineLevel="1">
      <c r="A145" s="15" t="s">
        <v>130</v>
      </c>
      <c r="B145" s="16" t="s">
        <v>17</v>
      </c>
      <c r="C145" s="16" t="s">
        <v>68</v>
      </c>
      <c r="D145" s="16" t="s">
        <v>131</v>
      </c>
      <c r="E145" s="16" t="s">
        <v>20</v>
      </c>
      <c r="F145" s="17">
        <f t="shared" si="22"/>
        <v>105000</v>
      </c>
      <c r="G145" s="17">
        <f t="shared" si="22"/>
        <v>45000</v>
      </c>
      <c r="H145" s="17">
        <f t="shared" si="22"/>
        <v>100000</v>
      </c>
    </row>
    <row r="146" spans="1:8" ht="47.25" outlineLevel="1">
      <c r="A146" s="15" t="s">
        <v>132</v>
      </c>
      <c r="B146" s="16" t="s">
        <v>17</v>
      </c>
      <c r="C146" s="16" t="s">
        <v>68</v>
      </c>
      <c r="D146" s="16" t="s">
        <v>133</v>
      </c>
      <c r="E146" s="16" t="s">
        <v>20</v>
      </c>
      <c r="F146" s="17">
        <f t="shared" si="22"/>
        <v>105000</v>
      </c>
      <c r="G146" s="17">
        <f t="shared" si="22"/>
        <v>45000</v>
      </c>
      <c r="H146" s="17">
        <f t="shared" si="22"/>
        <v>100000</v>
      </c>
    </row>
    <row r="147" spans="1:8" ht="31.5" outlineLevel="1">
      <c r="A147" s="15" t="s">
        <v>37</v>
      </c>
      <c r="B147" s="16" t="s">
        <v>17</v>
      </c>
      <c r="C147" s="16" t="s">
        <v>68</v>
      </c>
      <c r="D147" s="16" t="s">
        <v>133</v>
      </c>
      <c r="E147" s="16" t="s">
        <v>38</v>
      </c>
      <c r="F147" s="17">
        <f t="shared" si="22"/>
        <v>105000</v>
      </c>
      <c r="G147" s="17">
        <f t="shared" si="22"/>
        <v>45000</v>
      </c>
      <c r="H147" s="17">
        <f t="shared" si="22"/>
        <v>100000</v>
      </c>
    </row>
    <row r="148" spans="1:8" ht="31.5" outlineLevel="1">
      <c r="A148" s="15" t="s">
        <v>39</v>
      </c>
      <c r="B148" s="16" t="s">
        <v>17</v>
      </c>
      <c r="C148" s="16" t="s">
        <v>68</v>
      </c>
      <c r="D148" s="16" t="s">
        <v>133</v>
      </c>
      <c r="E148" s="16" t="s">
        <v>40</v>
      </c>
      <c r="F148" s="17">
        <v>105000</v>
      </c>
      <c r="G148" s="17">
        <v>45000</v>
      </c>
      <c r="H148" s="17">
        <v>100000</v>
      </c>
    </row>
    <row r="149" spans="1:8" ht="47.25" outlineLevel="1">
      <c r="A149" s="22" t="s">
        <v>134</v>
      </c>
      <c r="B149" s="16" t="s">
        <v>17</v>
      </c>
      <c r="C149" s="16" t="s">
        <v>68</v>
      </c>
      <c r="D149" s="16" t="s">
        <v>135</v>
      </c>
      <c r="E149" s="16" t="s">
        <v>20</v>
      </c>
      <c r="F149" s="17">
        <f t="shared" ref="F149:H152" si="23">F150</f>
        <v>300000</v>
      </c>
      <c r="G149" s="17">
        <f t="shared" si="23"/>
        <v>300000</v>
      </c>
      <c r="H149" s="17">
        <f t="shared" si="23"/>
        <v>300000</v>
      </c>
    </row>
    <row r="150" spans="1:8" ht="47.25" outlineLevel="1">
      <c r="A150" s="22" t="s">
        <v>136</v>
      </c>
      <c r="B150" s="16" t="s">
        <v>17</v>
      </c>
      <c r="C150" s="16" t="s">
        <v>68</v>
      </c>
      <c r="D150" s="16" t="s">
        <v>137</v>
      </c>
      <c r="E150" s="16" t="s">
        <v>20</v>
      </c>
      <c r="F150" s="17">
        <f t="shared" si="23"/>
        <v>300000</v>
      </c>
      <c r="G150" s="17">
        <f t="shared" si="23"/>
        <v>300000</v>
      </c>
      <c r="H150" s="17">
        <f t="shared" si="23"/>
        <v>300000</v>
      </c>
    </row>
    <row r="151" spans="1:8" ht="47.25" outlineLevel="1">
      <c r="A151" s="23" t="s">
        <v>138</v>
      </c>
      <c r="B151" s="16" t="s">
        <v>17</v>
      </c>
      <c r="C151" s="16" t="s">
        <v>68</v>
      </c>
      <c r="D151" s="16" t="s">
        <v>139</v>
      </c>
      <c r="E151" s="16" t="s">
        <v>20</v>
      </c>
      <c r="F151" s="17">
        <f t="shared" si="23"/>
        <v>300000</v>
      </c>
      <c r="G151" s="17">
        <f t="shared" si="23"/>
        <v>300000</v>
      </c>
      <c r="H151" s="17">
        <f t="shared" si="23"/>
        <v>300000</v>
      </c>
    </row>
    <row r="152" spans="1:8" ht="31.5" outlineLevel="1">
      <c r="A152" s="15" t="s">
        <v>37</v>
      </c>
      <c r="B152" s="16" t="s">
        <v>17</v>
      </c>
      <c r="C152" s="16" t="s">
        <v>68</v>
      </c>
      <c r="D152" s="16" t="s">
        <v>139</v>
      </c>
      <c r="E152" s="16" t="s">
        <v>38</v>
      </c>
      <c r="F152" s="17">
        <f t="shared" si="23"/>
        <v>300000</v>
      </c>
      <c r="G152" s="17">
        <f t="shared" si="23"/>
        <v>300000</v>
      </c>
      <c r="H152" s="17">
        <f t="shared" si="23"/>
        <v>300000</v>
      </c>
    </row>
    <row r="153" spans="1:8" ht="31.5" outlineLevel="1">
      <c r="A153" s="15" t="s">
        <v>39</v>
      </c>
      <c r="B153" s="16" t="s">
        <v>17</v>
      </c>
      <c r="C153" s="16" t="s">
        <v>68</v>
      </c>
      <c r="D153" s="16" t="s">
        <v>139</v>
      </c>
      <c r="E153" s="16" t="s">
        <v>40</v>
      </c>
      <c r="F153" s="17">
        <v>300000</v>
      </c>
      <c r="G153" s="17">
        <v>300000</v>
      </c>
      <c r="H153" s="17">
        <v>300000</v>
      </c>
    </row>
    <row r="154" spans="1:8" ht="78.75" outlineLevel="1">
      <c r="A154" s="24" t="s">
        <v>140</v>
      </c>
      <c r="B154" s="16" t="s">
        <v>17</v>
      </c>
      <c r="C154" s="16" t="s">
        <v>68</v>
      </c>
      <c r="D154" s="16" t="s">
        <v>141</v>
      </c>
      <c r="E154" s="16" t="s">
        <v>20</v>
      </c>
      <c r="F154" s="17">
        <f t="shared" ref="F154:H157" si="24">F155</f>
        <v>1514491.44</v>
      </c>
      <c r="G154" s="17">
        <f t="shared" si="24"/>
        <v>1966872</v>
      </c>
      <c r="H154" s="17">
        <f t="shared" si="24"/>
        <v>1966872</v>
      </c>
    </row>
    <row r="155" spans="1:8" ht="78.75" outlineLevel="1">
      <c r="A155" s="24" t="s">
        <v>142</v>
      </c>
      <c r="B155" s="16" t="s">
        <v>17</v>
      </c>
      <c r="C155" s="16" t="s">
        <v>68</v>
      </c>
      <c r="D155" s="16" t="s">
        <v>143</v>
      </c>
      <c r="E155" s="16" t="s">
        <v>20</v>
      </c>
      <c r="F155" s="17">
        <f t="shared" si="24"/>
        <v>1514491.44</v>
      </c>
      <c r="G155" s="17">
        <f t="shared" si="24"/>
        <v>1966872</v>
      </c>
      <c r="H155" s="17">
        <f t="shared" si="24"/>
        <v>1966872</v>
      </c>
    </row>
    <row r="156" spans="1:8" ht="47.25" outlineLevel="1">
      <c r="A156" s="57" t="s">
        <v>144</v>
      </c>
      <c r="B156" s="53" t="s">
        <v>17</v>
      </c>
      <c r="C156" s="53" t="s">
        <v>68</v>
      </c>
      <c r="D156" s="53" t="s">
        <v>145</v>
      </c>
      <c r="E156" s="53" t="s">
        <v>20</v>
      </c>
      <c r="F156" s="56">
        <f t="shared" si="24"/>
        <v>1514491.44</v>
      </c>
      <c r="G156" s="56">
        <f t="shared" si="24"/>
        <v>1966872</v>
      </c>
      <c r="H156" s="56">
        <f t="shared" si="24"/>
        <v>1966872</v>
      </c>
    </row>
    <row r="157" spans="1:8" ht="63" outlineLevel="1">
      <c r="A157" s="52" t="s">
        <v>29</v>
      </c>
      <c r="B157" s="53" t="s">
        <v>17</v>
      </c>
      <c r="C157" s="53" t="s">
        <v>68</v>
      </c>
      <c r="D157" s="53" t="s">
        <v>145</v>
      </c>
      <c r="E157" s="53" t="s">
        <v>30</v>
      </c>
      <c r="F157" s="56">
        <f t="shared" si="24"/>
        <v>1514491.44</v>
      </c>
      <c r="G157" s="56">
        <f t="shared" si="24"/>
        <v>1966872</v>
      </c>
      <c r="H157" s="56">
        <f t="shared" si="24"/>
        <v>1966872</v>
      </c>
    </row>
    <row r="158" spans="1:8" ht="31.5" outlineLevel="1">
      <c r="A158" s="52" t="s">
        <v>31</v>
      </c>
      <c r="B158" s="53" t="s">
        <v>17</v>
      </c>
      <c r="C158" s="53" t="s">
        <v>68</v>
      </c>
      <c r="D158" s="53" t="s">
        <v>145</v>
      </c>
      <c r="E158" s="53" t="s">
        <v>32</v>
      </c>
      <c r="F158" s="56">
        <f>2705746-1191254.56</f>
        <v>1514491.44</v>
      </c>
      <c r="G158" s="56">
        <f>1988548.92-21676.92</f>
        <v>1966872</v>
      </c>
      <c r="H158" s="56">
        <f>1988548.92-21676.92</f>
        <v>1966872</v>
      </c>
    </row>
    <row r="159" spans="1:8" ht="31.5" outlineLevel="1">
      <c r="A159" s="11" t="s">
        <v>146</v>
      </c>
      <c r="B159" s="16" t="s">
        <v>17</v>
      </c>
      <c r="C159" s="16" t="s">
        <v>68</v>
      </c>
      <c r="D159" s="12" t="s">
        <v>147</v>
      </c>
      <c r="E159" s="12" t="s">
        <v>20</v>
      </c>
      <c r="F159" s="17">
        <f t="shared" ref="F159:H160" si="25">F160</f>
        <v>51699700</v>
      </c>
      <c r="G159" s="17">
        <f t="shared" si="25"/>
        <v>53958001</v>
      </c>
      <c r="H159" s="17">
        <f t="shared" si="25"/>
        <v>59448099</v>
      </c>
    </row>
    <row r="160" spans="1:8" ht="31.5" outlineLevel="1">
      <c r="A160" s="11" t="s">
        <v>148</v>
      </c>
      <c r="B160" s="16" t="s">
        <v>17</v>
      </c>
      <c r="C160" s="16" t="s">
        <v>68</v>
      </c>
      <c r="D160" s="12" t="s">
        <v>149</v>
      </c>
      <c r="E160" s="12" t="s">
        <v>20</v>
      </c>
      <c r="F160" s="17">
        <f t="shared" si="25"/>
        <v>51699700</v>
      </c>
      <c r="G160" s="17">
        <f t="shared" si="25"/>
        <v>53958001</v>
      </c>
      <c r="H160" s="17">
        <f t="shared" si="25"/>
        <v>59448099</v>
      </c>
    </row>
    <row r="161" spans="1:8" outlineLevel="1">
      <c r="A161" s="15" t="s">
        <v>86</v>
      </c>
      <c r="B161" s="16" t="s">
        <v>17</v>
      </c>
      <c r="C161" s="16" t="s">
        <v>68</v>
      </c>
      <c r="D161" s="16" t="s">
        <v>150</v>
      </c>
      <c r="E161" s="16" t="s">
        <v>20</v>
      </c>
      <c r="F161" s="17">
        <f>F162+F164+F166</f>
        <v>51699700</v>
      </c>
      <c r="G161" s="17">
        <f>G162+G164+G166</f>
        <v>53958001</v>
      </c>
      <c r="H161" s="17">
        <f>H162+H164+H166</f>
        <v>59448099</v>
      </c>
    </row>
    <row r="162" spans="1:8" ht="63" outlineLevel="1">
      <c r="A162" s="15" t="s">
        <v>29</v>
      </c>
      <c r="B162" s="16" t="s">
        <v>17</v>
      </c>
      <c r="C162" s="16" t="s">
        <v>68</v>
      </c>
      <c r="D162" s="16" t="s">
        <v>150</v>
      </c>
      <c r="E162" s="16" t="s">
        <v>30</v>
      </c>
      <c r="F162" s="17">
        <f>F163</f>
        <v>47129700</v>
      </c>
      <c r="G162" s="17">
        <f>G163</f>
        <v>49223901</v>
      </c>
      <c r="H162" s="17">
        <f>H163</f>
        <v>54623999</v>
      </c>
    </row>
    <row r="163" spans="1:8" outlineLevel="1">
      <c r="A163" s="15" t="s">
        <v>88</v>
      </c>
      <c r="B163" s="16" t="s">
        <v>17</v>
      </c>
      <c r="C163" s="16" t="s">
        <v>68</v>
      </c>
      <c r="D163" s="16" t="s">
        <v>150</v>
      </c>
      <c r="E163" s="16" t="s">
        <v>89</v>
      </c>
      <c r="F163" s="17">
        <v>47129700</v>
      </c>
      <c r="G163" s="17">
        <v>49223901</v>
      </c>
      <c r="H163" s="17">
        <v>54623999</v>
      </c>
    </row>
    <row r="164" spans="1:8" ht="31.5" outlineLevel="1">
      <c r="A164" s="15" t="s">
        <v>37</v>
      </c>
      <c r="B164" s="16" t="s">
        <v>17</v>
      </c>
      <c r="C164" s="16" t="s">
        <v>68</v>
      </c>
      <c r="D164" s="16" t="s">
        <v>150</v>
      </c>
      <c r="E164" s="16" t="s">
        <v>38</v>
      </c>
      <c r="F164" s="17">
        <f>F165</f>
        <v>2540000</v>
      </c>
      <c r="G164" s="17">
        <f>G165</f>
        <v>2704100</v>
      </c>
      <c r="H164" s="17">
        <f>H165</f>
        <v>2794100</v>
      </c>
    </row>
    <row r="165" spans="1:8" ht="31.5" outlineLevel="1">
      <c r="A165" s="15" t="s">
        <v>39</v>
      </c>
      <c r="B165" s="16" t="s">
        <v>17</v>
      </c>
      <c r="C165" s="16" t="s">
        <v>68</v>
      </c>
      <c r="D165" s="16" t="s">
        <v>150</v>
      </c>
      <c r="E165" s="16" t="s">
        <v>40</v>
      </c>
      <c r="F165" s="17">
        <v>2540000</v>
      </c>
      <c r="G165" s="17">
        <v>2704100</v>
      </c>
      <c r="H165" s="17">
        <v>2794100</v>
      </c>
    </row>
    <row r="166" spans="1:8" outlineLevel="1">
      <c r="A166" s="15" t="s">
        <v>45</v>
      </c>
      <c r="B166" s="16" t="s">
        <v>17</v>
      </c>
      <c r="C166" s="16" t="s">
        <v>68</v>
      </c>
      <c r="D166" s="16" t="s">
        <v>150</v>
      </c>
      <c r="E166" s="16" t="s">
        <v>46</v>
      </c>
      <c r="F166" s="17">
        <f>F167</f>
        <v>2030000</v>
      </c>
      <c r="G166" s="17">
        <f>G167</f>
        <v>2030000</v>
      </c>
      <c r="H166" s="17">
        <f>H167</f>
        <v>2030000</v>
      </c>
    </row>
    <row r="167" spans="1:8" outlineLevel="1">
      <c r="A167" s="15" t="s">
        <v>47</v>
      </c>
      <c r="B167" s="16" t="s">
        <v>17</v>
      </c>
      <c r="C167" s="16" t="s">
        <v>68</v>
      </c>
      <c r="D167" s="16" t="s">
        <v>150</v>
      </c>
      <c r="E167" s="16" t="s">
        <v>48</v>
      </c>
      <c r="F167" s="17">
        <v>2030000</v>
      </c>
      <c r="G167" s="17">
        <v>2030000</v>
      </c>
      <c r="H167" s="17">
        <v>2030000</v>
      </c>
    </row>
    <row r="168" spans="1:8" ht="31.5" outlineLevel="1">
      <c r="A168" s="15" t="s">
        <v>23</v>
      </c>
      <c r="B168" s="16" t="s">
        <v>17</v>
      </c>
      <c r="C168" s="16" t="s">
        <v>68</v>
      </c>
      <c r="D168" s="16" t="s">
        <v>24</v>
      </c>
      <c r="E168" s="16" t="s">
        <v>20</v>
      </c>
      <c r="F168" s="17">
        <f>F169</f>
        <v>14714501.540000001</v>
      </c>
      <c r="G168" s="17">
        <f>G169</f>
        <v>11471253.08</v>
      </c>
      <c r="H168" s="17">
        <f>H169</f>
        <v>11811718.08</v>
      </c>
    </row>
    <row r="169" spans="1:8" ht="31.5" outlineLevel="2">
      <c r="A169" s="15" t="s">
        <v>25</v>
      </c>
      <c r="B169" s="16" t="s">
        <v>17</v>
      </c>
      <c r="C169" s="16" t="s">
        <v>68</v>
      </c>
      <c r="D169" s="16" t="s">
        <v>26</v>
      </c>
      <c r="E169" s="16" t="s">
        <v>20</v>
      </c>
      <c r="F169" s="17">
        <f>F170+F173+F177+F180+F183+F186+F189+F194+F197+F202</f>
        <v>14714501.540000001</v>
      </c>
      <c r="G169" s="17">
        <f t="shared" ref="G169:H169" si="26">G170+G173+G177+G180+G183+G186+G189+G194+G197+G202</f>
        <v>11471253.08</v>
      </c>
      <c r="H169" s="17">
        <f t="shared" si="26"/>
        <v>11811718.08</v>
      </c>
    </row>
    <row r="170" spans="1:8" ht="31.5" outlineLevel="2">
      <c r="A170" s="15" t="s">
        <v>151</v>
      </c>
      <c r="B170" s="16" t="s">
        <v>17</v>
      </c>
      <c r="C170" s="16" t="s">
        <v>68</v>
      </c>
      <c r="D170" s="16" t="s">
        <v>152</v>
      </c>
      <c r="E170" s="16" t="s">
        <v>20</v>
      </c>
      <c r="F170" s="21">
        <f t="shared" ref="F170:H171" si="27">F171</f>
        <v>500000</v>
      </c>
      <c r="G170" s="21">
        <f t="shared" si="27"/>
        <v>500000</v>
      </c>
      <c r="H170" s="21">
        <f t="shared" si="27"/>
        <v>500000</v>
      </c>
    </row>
    <row r="171" spans="1:8" ht="31.5" outlineLevel="2">
      <c r="A171" s="15" t="s">
        <v>37</v>
      </c>
      <c r="B171" s="16" t="s">
        <v>17</v>
      </c>
      <c r="C171" s="16" t="s">
        <v>68</v>
      </c>
      <c r="D171" s="16" t="s">
        <v>152</v>
      </c>
      <c r="E171" s="16" t="s">
        <v>38</v>
      </c>
      <c r="F171" s="21">
        <f t="shared" si="27"/>
        <v>500000</v>
      </c>
      <c r="G171" s="21">
        <f t="shared" si="27"/>
        <v>500000</v>
      </c>
      <c r="H171" s="21">
        <f t="shared" si="27"/>
        <v>500000</v>
      </c>
    </row>
    <row r="172" spans="1:8" ht="31.5" outlineLevel="2">
      <c r="A172" s="15" t="s">
        <v>39</v>
      </c>
      <c r="B172" s="16" t="s">
        <v>17</v>
      </c>
      <c r="C172" s="16" t="s">
        <v>68</v>
      </c>
      <c r="D172" s="16" t="s">
        <v>152</v>
      </c>
      <c r="E172" s="16" t="s">
        <v>40</v>
      </c>
      <c r="F172" s="21">
        <v>500000</v>
      </c>
      <c r="G172" s="21">
        <v>500000</v>
      </c>
      <c r="H172" s="21">
        <v>500000</v>
      </c>
    </row>
    <row r="173" spans="1:8" ht="31.5" outlineLevel="2">
      <c r="A173" s="119" t="s">
        <v>491</v>
      </c>
      <c r="B173" s="53" t="s">
        <v>17</v>
      </c>
      <c r="C173" s="53" t="s">
        <v>68</v>
      </c>
      <c r="D173" s="116" t="s">
        <v>493</v>
      </c>
      <c r="E173" s="116" t="s">
        <v>20</v>
      </c>
      <c r="F173" s="120">
        <f>F174</f>
        <v>3244056</v>
      </c>
      <c r="G173" s="120">
        <f>G174</f>
        <v>0</v>
      </c>
      <c r="H173" s="120">
        <f>H174</f>
        <v>0</v>
      </c>
    </row>
    <row r="174" spans="1:8" outlineLevel="2">
      <c r="A174" s="123" t="s">
        <v>45</v>
      </c>
      <c r="B174" s="124" t="s">
        <v>17</v>
      </c>
      <c r="C174" s="124" t="s">
        <v>68</v>
      </c>
      <c r="D174" s="125" t="s">
        <v>493</v>
      </c>
      <c r="E174" s="125" t="s">
        <v>46</v>
      </c>
      <c r="F174" s="126">
        <f>F175+F176</f>
        <v>3244056</v>
      </c>
      <c r="G174" s="126">
        <f>G175+G176</f>
        <v>0</v>
      </c>
      <c r="H174" s="126">
        <f>H175+H176</f>
        <v>0</v>
      </c>
    </row>
    <row r="175" spans="1:8" outlineLevel="2">
      <c r="A175" s="127" t="s">
        <v>492</v>
      </c>
      <c r="B175" s="128" t="s">
        <v>17</v>
      </c>
      <c r="C175" s="128" t="s">
        <v>68</v>
      </c>
      <c r="D175" s="129" t="s">
        <v>493</v>
      </c>
      <c r="E175" s="129" t="s">
        <v>494</v>
      </c>
      <c r="F175" s="130">
        <f>2554056+500000</f>
        <v>3054056</v>
      </c>
      <c r="G175" s="130">
        <v>0</v>
      </c>
      <c r="H175" s="130">
        <v>0</v>
      </c>
    </row>
    <row r="176" spans="1:8" outlineLevel="2">
      <c r="A176" s="131" t="s">
        <v>47</v>
      </c>
      <c r="B176" s="128" t="s">
        <v>17</v>
      </c>
      <c r="C176" s="128" t="s">
        <v>68</v>
      </c>
      <c r="D176" s="132" t="s">
        <v>493</v>
      </c>
      <c r="E176" s="132" t="s">
        <v>48</v>
      </c>
      <c r="F176" s="133">
        <f>50000+70000+70000</f>
        <v>190000</v>
      </c>
      <c r="G176" s="133">
        <v>0</v>
      </c>
      <c r="H176" s="133">
        <v>0</v>
      </c>
    </row>
    <row r="177" spans="1:8" outlineLevel="2">
      <c r="A177" s="118" t="s">
        <v>495</v>
      </c>
      <c r="B177" s="128" t="s">
        <v>17</v>
      </c>
      <c r="C177" s="128" t="s">
        <v>68</v>
      </c>
      <c r="D177" s="116" t="s">
        <v>496</v>
      </c>
      <c r="E177" s="116" t="s">
        <v>20</v>
      </c>
      <c r="F177" s="133">
        <f>F178</f>
        <v>355039.46</v>
      </c>
      <c r="G177" s="133">
        <f t="shared" ref="G177:H178" si="28">G178</f>
        <v>0</v>
      </c>
      <c r="H177" s="133">
        <f t="shared" si="28"/>
        <v>0</v>
      </c>
    </row>
    <row r="178" spans="1:8" ht="31.5" outlineLevel="2">
      <c r="A178" s="118" t="s">
        <v>37</v>
      </c>
      <c r="B178" s="128" t="s">
        <v>17</v>
      </c>
      <c r="C178" s="128" t="s">
        <v>68</v>
      </c>
      <c r="D178" s="116" t="s">
        <v>496</v>
      </c>
      <c r="E178" s="116" t="s">
        <v>38</v>
      </c>
      <c r="F178" s="133">
        <f>F179</f>
        <v>355039.46</v>
      </c>
      <c r="G178" s="133">
        <f t="shared" si="28"/>
        <v>0</v>
      </c>
      <c r="H178" s="133">
        <f t="shared" si="28"/>
        <v>0</v>
      </c>
    </row>
    <row r="179" spans="1:8" ht="31.5" outlineLevel="2">
      <c r="A179" s="121" t="s">
        <v>39</v>
      </c>
      <c r="B179" s="128" t="s">
        <v>17</v>
      </c>
      <c r="C179" s="128" t="s">
        <v>68</v>
      </c>
      <c r="D179" s="122" t="s">
        <v>496</v>
      </c>
      <c r="E179" s="122" t="s">
        <v>40</v>
      </c>
      <c r="F179" s="133">
        <v>355039.46</v>
      </c>
      <c r="G179" s="133">
        <v>0</v>
      </c>
      <c r="H179" s="133">
        <v>0</v>
      </c>
    </row>
    <row r="180" spans="1:8" ht="31.5" outlineLevel="3">
      <c r="A180" s="134" t="s">
        <v>153</v>
      </c>
      <c r="B180" s="128" t="s">
        <v>17</v>
      </c>
      <c r="C180" s="128" t="s">
        <v>68</v>
      </c>
      <c r="D180" s="128" t="s">
        <v>154</v>
      </c>
      <c r="E180" s="128" t="s">
        <v>20</v>
      </c>
      <c r="F180" s="135">
        <f t="shared" ref="F180:H181" si="29">F181</f>
        <v>2154869</v>
      </c>
      <c r="G180" s="135">
        <f t="shared" si="29"/>
        <v>2154869</v>
      </c>
      <c r="H180" s="135">
        <f t="shared" si="29"/>
        <v>2154869</v>
      </c>
    </row>
    <row r="181" spans="1:8" ht="63" outlineLevel="3">
      <c r="A181" s="52" t="s">
        <v>29</v>
      </c>
      <c r="B181" s="53" t="s">
        <v>17</v>
      </c>
      <c r="C181" s="53" t="s">
        <v>68</v>
      </c>
      <c r="D181" s="53" t="s">
        <v>154</v>
      </c>
      <c r="E181" s="53" t="s">
        <v>30</v>
      </c>
      <c r="F181" s="56">
        <f t="shared" si="29"/>
        <v>2154869</v>
      </c>
      <c r="G181" s="56">
        <f t="shared" si="29"/>
        <v>2154869</v>
      </c>
      <c r="H181" s="56">
        <f t="shared" si="29"/>
        <v>2154869</v>
      </c>
    </row>
    <row r="182" spans="1:8" ht="31.5" outlineLevel="5">
      <c r="A182" s="52" t="s">
        <v>31</v>
      </c>
      <c r="B182" s="53" t="s">
        <v>17</v>
      </c>
      <c r="C182" s="53" t="s">
        <v>68</v>
      </c>
      <c r="D182" s="53" t="s">
        <v>154</v>
      </c>
      <c r="E182" s="53" t="s">
        <v>32</v>
      </c>
      <c r="F182" s="56">
        <f>1512732+642137</f>
        <v>2154869</v>
      </c>
      <c r="G182" s="56">
        <f>1512732+642137</f>
        <v>2154869</v>
      </c>
      <c r="H182" s="56">
        <f>1512732+642137</f>
        <v>2154869</v>
      </c>
    </row>
    <row r="183" spans="1:8" ht="31.5" outlineLevel="5">
      <c r="A183" s="15" t="s">
        <v>155</v>
      </c>
      <c r="B183" s="16" t="s">
        <v>17</v>
      </c>
      <c r="C183" s="16" t="s">
        <v>68</v>
      </c>
      <c r="D183" s="16" t="s">
        <v>156</v>
      </c>
      <c r="E183" s="16" t="s">
        <v>20</v>
      </c>
      <c r="F183" s="17">
        <f t="shared" ref="F183:H184" si="30">F184</f>
        <v>1723377</v>
      </c>
      <c r="G183" s="17">
        <f t="shared" si="30"/>
        <v>1798370</v>
      </c>
      <c r="H183" s="17">
        <f t="shared" si="30"/>
        <v>1870305</v>
      </c>
    </row>
    <row r="184" spans="1:8" ht="63" outlineLevel="5">
      <c r="A184" s="15" t="s">
        <v>29</v>
      </c>
      <c r="B184" s="16" t="s">
        <v>17</v>
      </c>
      <c r="C184" s="16" t="s">
        <v>68</v>
      </c>
      <c r="D184" s="16" t="s">
        <v>156</v>
      </c>
      <c r="E184" s="16" t="s">
        <v>30</v>
      </c>
      <c r="F184" s="17">
        <f t="shared" si="30"/>
        <v>1723377</v>
      </c>
      <c r="G184" s="17">
        <f t="shared" si="30"/>
        <v>1798370</v>
      </c>
      <c r="H184" s="17">
        <f t="shared" si="30"/>
        <v>1870305</v>
      </c>
    </row>
    <row r="185" spans="1:8" ht="31.5" outlineLevel="3">
      <c r="A185" s="15" t="s">
        <v>31</v>
      </c>
      <c r="B185" s="16" t="s">
        <v>17</v>
      </c>
      <c r="C185" s="16" t="s">
        <v>68</v>
      </c>
      <c r="D185" s="16" t="s">
        <v>156</v>
      </c>
      <c r="E185" s="16" t="s">
        <v>32</v>
      </c>
      <c r="F185" s="17">
        <v>1723377</v>
      </c>
      <c r="G185" s="17">
        <v>1798370</v>
      </c>
      <c r="H185" s="17">
        <v>1870305</v>
      </c>
    </row>
    <row r="186" spans="1:8" ht="31.5" outlineLevel="3">
      <c r="A186" s="15" t="s">
        <v>157</v>
      </c>
      <c r="B186" s="16" t="s">
        <v>17</v>
      </c>
      <c r="C186" s="16" t="s">
        <v>68</v>
      </c>
      <c r="D186" s="16" t="s">
        <v>158</v>
      </c>
      <c r="E186" s="16" t="s">
        <v>20</v>
      </c>
      <c r="F186" s="17">
        <f t="shared" ref="F186:H187" si="31">F187</f>
        <v>1228233</v>
      </c>
      <c r="G186" s="17">
        <f t="shared" si="31"/>
        <v>1281666</v>
      </c>
      <c r="H186" s="17">
        <f t="shared" si="31"/>
        <v>1332933</v>
      </c>
    </row>
    <row r="187" spans="1:8" ht="63" outlineLevel="3">
      <c r="A187" s="15" t="s">
        <v>29</v>
      </c>
      <c r="B187" s="16" t="s">
        <v>17</v>
      </c>
      <c r="C187" s="16" t="s">
        <v>68</v>
      </c>
      <c r="D187" s="16" t="s">
        <v>158</v>
      </c>
      <c r="E187" s="16" t="s">
        <v>30</v>
      </c>
      <c r="F187" s="17">
        <f t="shared" si="31"/>
        <v>1228233</v>
      </c>
      <c r="G187" s="17">
        <f t="shared" si="31"/>
        <v>1281666</v>
      </c>
      <c r="H187" s="17">
        <f t="shared" si="31"/>
        <v>1332933</v>
      </c>
    </row>
    <row r="188" spans="1:8" ht="31.5" outlineLevel="3">
      <c r="A188" s="15" t="s">
        <v>31</v>
      </c>
      <c r="B188" s="16" t="s">
        <v>17</v>
      </c>
      <c r="C188" s="16" t="s">
        <v>68</v>
      </c>
      <c r="D188" s="16" t="s">
        <v>158</v>
      </c>
      <c r="E188" s="16" t="s">
        <v>32</v>
      </c>
      <c r="F188" s="17">
        <v>1228233</v>
      </c>
      <c r="G188" s="17">
        <v>1281666</v>
      </c>
      <c r="H188" s="17">
        <v>1332933</v>
      </c>
    </row>
    <row r="189" spans="1:8" ht="31.5" outlineLevel="3">
      <c r="A189" s="52" t="s">
        <v>159</v>
      </c>
      <c r="B189" s="53" t="s">
        <v>17</v>
      </c>
      <c r="C189" s="53" t="s">
        <v>68</v>
      </c>
      <c r="D189" s="53" t="s">
        <v>160</v>
      </c>
      <c r="E189" s="53" t="s">
        <v>20</v>
      </c>
      <c r="F189" s="56">
        <f>F190+F192</f>
        <v>1220949</v>
      </c>
      <c r="G189" s="56">
        <f>G190+G192</f>
        <v>1271464</v>
      </c>
      <c r="H189" s="56">
        <f>H190+H192</f>
        <v>1319723</v>
      </c>
    </row>
    <row r="190" spans="1:8" ht="63" outlineLevel="3">
      <c r="A190" s="15" t="s">
        <v>29</v>
      </c>
      <c r="B190" s="16" t="s">
        <v>17</v>
      </c>
      <c r="C190" s="16" t="s">
        <v>68</v>
      </c>
      <c r="D190" s="16" t="s">
        <v>160</v>
      </c>
      <c r="E190" s="16" t="s">
        <v>30</v>
      </c>
      <c r="F190" s="17">
        <f>F191</f>
        <v>1111000</v>
      </c>
      <c r="G190" s="17">
        <f>G191</f>
        <v>1111000</v>
      </c>
      <c r="H190" s="17">
        <f>H191</f>
        <v>1111000</v>
      </c>
    </row>
    <row r="191" spans="1:8" ht="31.5" outlineLevel="3">
      <c r="A191" s="15" t="s">
        <v>31</v>
      </c>
      <c r="B191" s="16" t="s">
        <v>17</v>
      </c>
      <c r="C191" s="16" t="s">
        <v>68</v>
      </c>
      <c r="D191" s="16" t="s">
        <v>160</v>
      </c>
      <c r="E191" s="16" t="s">
        <v>32</v>
      </c>
      <c r="F191" s="17">
        <v>1111000</v>
      </c>
      <c r="G191" s="17">
        <v>1111000</v>
      </c>
      <c r="H191" s="17">
        <v>1111000</v>
      </c>
    </row>
    <row r="192" spans="1:8" ht="31.5" outlineLevel="3">
      <c r="A192" s="15" t="s">
        <v>37</v>
      </c>
      <c r="B192" s="16" t="s">
        <v>17</v>
      </c>
      <c r="C192" s="16" t="s">
        <v>68</v>
      </c>
      <c r="D192" s="16" t="s">
        <v>160</v>
      </c>
      <c r="E192" s="16" t="s">
        <v>38</v>
      </c>
      <c r="F192" s="17">
        <f>F193</f>
        <v>109949</v>
      </c>
      <c r="G192" s="17">
        <f>G193</f>
        <v>160464</v>
      </c>
      <c r="H192" s="17">
        <f>H193</f>
        <v>208723</v>
      </c>
    </row>
    <row r="193" spans="1:8" ht="31.5" outlineLevel="3">
      <c r="A193" s="52" t="s">
        <v>39</v>
      </c>
      <c r="B193" s="53" t="s">
        <v>17</v>
      </c>
      <c r="C193" s="53" t="s">
        <v>68</v>
      </c>
      <c r="D193" s="53" t="s">
        <v>160</v>
      </c>
      <c r="E193" s="53" t="s">
        <v>40</v>
      </c>
      <c r="F193" s="56">
        <f>108463+1486</f>
        <v>109949</v>
      </c>
      <c r="G193" s="56">
        <f>154642+5822</f>
        <v>160464</v>
      </c>
      <c r="H193" s="56">
        <f>202668+6055</f>
        <v>208723</v>
      </c>
    </row>
    <row r="194" spans="1:8" ht="47.25" outlineLevel="3">
      <c r="A194" s="25" t="s">
        <v>161</v>
      </c>
      <c r="B194" s="16" t="s">
        <v>17</v>
      </c>
      <c r="C194" s="16" t="s">
        <v>68</v>
      </c>
      <c r="D194" s="16" t="s">
        <v>162</v>
      </c>
      <c r="E194" s="16" t="s">
        <v>20</v>
      </c>
      <c r="F194" s="17">
        <f t="shared" ref="F194:H195" si="32">F195</f>
        <v>3387.08</v>
      </c>
      <c r="G194" s="17">
        <f t="shared" si="32"/>
        <v>3387.08</v>
      </c>
      <c r="H194" s="17">
        <f t="shared" si="32"/>
        <v>3387.08</v>
      </c>
    </row>
    <row r="195" spans="1:8" ht="63" outlineLevel="3">
      <c r="A195" s="15" t="s">
        <v>29</v>
      </c>
      <c r="B195" s="16" t="s">
        <v>17</v>
      </c>
      <c r="C195" s="16" t="s">
        <v>68</v>
      </c>
      <c r="D195" s="16" t="s">
        <v>162</v>
      </c>
      <c r="E195" s="16" t="s">
        <v>30</v>
      </c>
      <c r="F195" s="17">
        <f t="shared" si="32"/>
        <v>3387.08</v>
      </c>
      <c r="G195" s="17">
        <f t="shared" si="32"/>
        <v>3387.08</v>
      </c>
      <c r="H195" s="17">
        <f t="shared" si="32"/>
        <v>3387.08</v>
      </c>
    </row>
    <row r="196" spans="1:8" ht="31.5" outlineLevel="3">
      <c r="A196" s="15" t="s">
        <v>31</v>
      </c>
      <c r="B196" s="16" t="s">
        <v>17</v>
      </c>
      <c r="C196" s="16" t="s">
        <v>68</v>
      </c>
      <c r="D196" s="16" t="s">
        <v>162</v>
      </c>
      <c r="E196" s="16" t="s">
        <v>32</v>
      </c>
      <c r="F196" s="17">
        <v>3387.08</v>
      </c>
      <c r="G196" s="17">
        <v>3387.08</v>
      </c>
      <c r="H196" s="17">
        <v>3387.08</v>
      </c>
    </row>
    <row r="197" spans="1:8" ht="31.5" outlineLevel="3">
      <c r="A197" s="52" t="s">
        <v>163</v>
      </c>
      <c r="B197" s="53" t="s">
        <v>17</v>
      </c>
      <c r="C197" s="53" t="s">
        <v>68</v>
      </c>
      <c r="D197" s="53" t="s">
        <v>164</v>
      </c>
      <c r="E197" s="53" t="s">
        <v>20</v>
      </c>
      <c r="F197" s="56">
        <f>F198+F200</f>
        <v>3915435</v>
      </c>
      <c r="G197" s="56">
        <f>G198+G200</f>
        <v>4076209</v>
      </c>
      <c r="H197" s="56">
        <f>H198+H200</f>
        <v>4229801</v>
      </c>
    </row>
    <row r="198" spans="1:8" ht="63" outlineLevel="3">
      <c r="A198" s="15" t="s">
        <v>29</v>
      </c>
      <c r="B198" s="16" t="s">
        <v>17</v>
      </c>
      <c r="C198" s="16" t="s">
        <v>68</v>
      </c>
      <c r="D198" s="16" t="s">
        <v>164</v>
      </c>
      <c r="E198" s="16" t="s">
        <v>30</v>
      </c>
      <c r="F198" s="17">
        <f>F199</f>
        <v>3810705</v>
      </c>
      <c r="G198" s="17">
        <f>G199</f>
        <v>3957677</v>
      </c>
      <c r="H198" s="17">
        <f>H199</f>
        <v>4110528</v>
      </c>
    </row>
    <row r="199" spans="1:8" ht="31.5" outlineLevel="3">
      <c r="A199" s="15" t="s">
        <v>31</v>
      </c>
      <c r="B199" s="16" t="s">
        <v>17</v>
      </c>
      <c r="C199" s="16" t="s">
        <v>68</v>
      </c>
      <c r="D199" s="16" t="s">
        <v>164</v>
      </c>
      <c r="E199" s="16" t="s">
        <v>32</v>
      </c>
      <c r="F199" s="17">
        <v>3810705</v>
      </c>
      <c r="G199" s="17">
        <v>3957677</v>
      </c>
      <c r="H199" s="17">
        <v>4110528</v>
      </c>
    </row>
    <row r="200" spans="1:8" ht="31.5" outlineLevel="3">
      <c r="A200" s="15" t="s">
        <v>37</v>
      </c>
      <c r="B200" s="16" t="s">
        <v>17</v>
      </c>
      <c r="C200" s="16" t="s">
        <v>68</v>
      </c>
      <c r="D200" s="16" t="s">
        <v>164</v>
      </c>
      <c r="E200" s="16" t="s">
        <v>38</v>
      </c>
      <c r="F200" s="17">
        <f>F201</f>
        <v>104730</v>
      </c>
      <c r="G200" s="17">
        <f>G201</f>
        <v>118532</v>
      </c>
      <c r="H200" s="17">
        <f>H201</f>
        <v>119273</v>
      </c>
    </row>
    <row r="201" spans="1:8" ht="31.5" outlineLevel="3">
      <c r="A201" s="52" t="s">
        <v>39</v>
      </c>
      <c r="B201" s="53" t="s">
        <v>17</v>
      </c>
      <c r="C201" s="53" t="s">
        <v>68</v>
      </c>
      <c r="D201" s="53" t="s">
        <v>164</v>
      </c>
      <c r="E201" s="53" t="s">
        <v>40</v>
      </c>
      <c r="F201" s="56">
        <f>100000+4730</f>
        <v>104730</v>
      </c>
      <c r="G201" s="56">
        <f>100000+18532</f>
        <v>118532</v>
      </c>
      <c r="H201" s="56">
        <f>100000+19273</f>
        <v>119273</v>
      </c>
    </row>
    <row r="202" spans="1:8" ht="47.25" outlineLevel="3">
      <c r="A202" s="52" t="s">
        <v>165</v>
      </c>
      <c r="B202" s="53" t="s">
        <v>17</v>
      </c>
      <c r="C202" s="53" t="s">
        <v>68</v>
      </c>
      <c r="D202" s="62" t="s">
        <v>166</v>
      </c>
      <c r="E202" s="53" t="s">
        <v>20</v>
      </c>
      <c r="F202" s="56">
        <f>F203+F205</f>
        <v>369156</v>
      </c>
      <c r="G202" s="56">
        <f t="shared" ref="G202:H202" si="33">G203+G205</f>
        <v>385288</v>
      </c>
      <c r="H202" s="56">
        <f t="shared" si="33"/>
        <v>400700</v>
      </c>
    </row>
    <row r="203" spans="1:8" ht="63" outlineLevel="3">
      <c r="A203" s="52" t="s">
        <v>29</v>
      </c>
      <c r="B203" s="53" t="s">
        <v>17</v>
      </c>
      <c r="C203" s="53" t="s">
        <v>68</v>
      </c>
      <c r="D203" s="62" t="s">
        <v>166</v>
      </c>
      <c r="E203" s="53" t="s">
        <v>30</v>
      </c>
      <c r="F203" s="56">
        <f t="shared" ref="F203:H203" si="34">F204</f>
        <v>146046</v>
      </c>
      <c r="G203" s="56">
        <f t="shared" si="34"/>
        <v>146046</v>
      </c>
      <c r="H203" s="56">
        <f t="shared" si="34"/>
        <v>146046</v>
      </c>
    </row>
    <row r="204" spans="1:8" ht="31.5" outlineLevel="3">
      <c r="A204" s="52" t="s">
        <v>31</v>
      </c>
      <c r="B204" s="53" t="s">
        <v>17</v>
      </c>
      <c r="C204" s="53" t="s">
        <v>68</v>
      </c>
      <c r="D204" s="62" t="s">
        <v>166</v>
      </c>
      <c r="E204" s="53" t="s">
        <v>32</v>
      </c>
      <c r="F204" s="56">
        <f>728078-582032</f>
        <v>146046</v>
      </c>
      <c r="G204" s="56">
        <f>755442-609396</f>
        <v>146046</v>
      </c>
      <c r="H204" s="56">
        <f>783900-637854</f>
        <v>146046</v>
      </c>
    </row>
    <row r="205" spans="1:8" ht="31.5" outlineLevel="3">
      <c r="A205" s="52" t="s">
        <v>37</v>
      </c>
      <c r="B205" s="53" t="s">
        <v>17</v>
      </c>
      <c r="C205" s="53" t="s">
        <v>68</v>
      </c>
      <c r="D205" s="62" t="s">
        <v>166</v>
      </c>
      <c r="E205" s="53" t="s">
        <v>38</v>
      </c>
      <c r="F205" s="59">
        <f>F206</f>
        <v>223110</v>
      </c>
      <c r="G205" s="59">
        <f t="shared" ref="G205:H205" si="35">G206</f>
        <v>239242</v>
      </c>
      <c r="H205" s="59">
        <f t="shared" si="35"/>
        <v>254654</v>
      </c>
    </row>
    <row r="206" spans="1:8" ht="31.5" outlineLevel="3">
      <c r="A206" s="52" t="s">
        <v>39</v>
      </c>
      <c r="B206" s="53" t="s">
        <v>17</v>
      </c>
      <c r="C206" s="53" t="s">
        <v>68</v>
      </c>
      <c r="D206" s="62" t="s">
        <v>166</v>
      </c>
      <c r="E206" s="53" t="s">
        <v>40</v>
      </c>
      <c r="F206" s="59">
        <v>223110</v>
      </c>
      <c r="G206" s="59">
        <v>239242</v>
      </c>
      <c r="H206" s="59">
        <v>254654</v>
      </c>
    </row>
    <row r="207" spans="1:8" outlineLevel="3">
      <c r="A207" s="11" t="s">
        <v>167</v>
      </c>
      <c r="B207" s="12" t="s">
        <v>22</v>
      </c>
      <c r="C207" s="12" t="s">
        <v>18</v>
      </c>
      <c r="D207" s="12" t="s">
        <v>19</v>
      </c>
      <c r="E207" s="12" t="s">
        <v>20</v>
      </c>
      <c r="F207" s="13">
        <f t="shared" ref="F207:H213" si="36">F208</f>
        <v>2552304</v>
      </c>
      <c r="G207" s="13">
        <f t="shared" si="36"/>
        <v>2790432</v>
      </c>
      <c r="H207" s="13">
        <f t="shared" si="36"/>
        <v>2890080</v>
      </c>
    </row>
    <row r="208" spans="1:8" outlineLevel="3">
      <c r="A208" s="26" t="s">
        <v>168</v>
      </c>
      <c r="B208" s="16" t="s">
        <v>22</v>
      </c>
      <c r="C208" s="16" t="s">
        <v>34</v>
      </c>
      <c r="D208" s="16" t="s">
        <v>19</v>
      </c>
      <c r="E208" s="16" t="s">
        <v>20</v>
      </c>
      <c r="F208" s="17">
        <f t="shared" si="36"/>
        <v>2552304</v>
      </c>
      <c r="G208" s="17">
        <f t="shared" si="36"/>
        <v>2790432</v>
      </c>
      <c r="H208" s="17">
        <f t="shared" si="36"/>
        <v>2890080</v>
      </c>
    </row>
    <row r="209" spans="1:8" ht="31.5" outlineLevel="3">
      <c r="A209" s="15" t="s">
        <v>23</v>
      </c>
      <c r="B209" s="16" t="s">
        <v>22</v>
      </c>
      <c r="C209" s="16" t="s">
        <v>34</v>
      </c>
      <c r="D209" s="16" t="s">
        <v>24</v>
      </c>
      <c r="E209" s="16" t="s">
        <v>20</v>
      </c>
      <c r="F209" s="17">
        <f t="shared" si="36"/>
        <v>2552304</v>
      </c>
      <c r="G209" s="17">
        <f t="shared" si="36"/>
        <v>2790432</v>
      </c>
      <c r="H209" s="17">
        <f t="shared" si="36"/>
        <v>2890080</v>
      </c>
    </row>
    <row r="210" spans="1:8" ht="31.5" outlineLevel="3">
      <c r="A210" s="15" t="s">
        <v>25</v>
      </c>
      <c r="B210" s="16" t="s">
        <v>22</v>
      </c>
      <c r="C210" s="16" t="s">
        <v>34</v>
      </c>
      <c r="D210" s="16" t="s">
        <v>26</v>
      </c>
      <c r="E210" s="16" t="s">
        <v>20</v>
      </c>
      <c r="F210" s="17">
        <f t="shared" si="36"/>
        <v>2552304</v>
      </c>
      <c r="G210" s="17">
        <f t="shared" si="36"/>
        <v>2790432</v>
      </c>
      <c r="H210" s="17">
        <f t="shared" si="36"/>
        <v>2890080</v>
      </c>
    </row>
    <row r="211" spans="1:8" outlineLevel="3">
      <c r="A211" s="27" t="s">
        <v>169</v>
      </c>
      <c r="B211" s="16" t="s">
        <v>22</v>
      </c>
      <c r="C211" s="16" t="s">
        <v>34</v>
      </c>
      <c r="D211" s="16" t="s">
        <v>170</v>
      </c>
      <c r="E211" s="16" t="s">
        <v>20</v>
      </c>
      <c r="F211" s="17">
        <f t="shared" si="36"/>
        <v>2552304</v>
      </c>
      <c r="G211" s="17">
        <f t="shared" si="36"/>
        <v>2790432</v>
      </c>
      <c r="H211" s="17">
        <f t="shared" si="36"/>
        <v>2890080</v>
      </c>
    </row>
    <row r="212" spans="1:8" ht="31.5" outlineLevel="3">
      <c r="A212" s="52" t="s">
        <v>171</v>
      </c>
      <c r="B212" s="53" t="s">
        <v>22</v>
      </c>
      <c r="C212" s="53" t="s">
        <v>34</v>
      </c>
      <c r="D212" s="53" t="s">
        <v>172</v>
      </c>
      <c r="E212" s="53" t="s">
        <v>20</v>
      </c>
      <c r="F212" s="56">
        <f t="shared" si="36"/>
        <v>2552304</v>
      </c>
      <c r="G212" s="56">
        <f t="shared" si="36"/>
        <v>2790432</v>
      </c>
      <c r="H212" s="56">
        <f t="shared" si="36"/>
        <v>2890080</v>
      </c>
    </row>
    <row r="213" spans="1:8" ht="63" outlineLevel="3">
      <c r="A213" s="52" t="s">
        <v>29</v>
      </c>
      <c r="B213" s="53" t="s">
        <v>22</v>
      </c>
      <c r="C213" s="53" t="s">
        <v>34</v>
      </c>
      <c r="D213" s="53" t="s">
        <v>172</v>
      </c>
      <c r="E213" s="53" t="s">
        <v>30</v>
      </c>
      <c r="F213" s="56">
        <f t="shared" si="36"/>
        <v>2552304</v>
      </c>
      <c r="G213" s="56">
        <f t="shared" si="36"/>
        <v>2790432</v>
      </c>
      <c r="H213" s="56">
        <f t="shared" si="36"/>
        <v>2890080</v>
      </c>
    </row>
    <row r="214" spans="1:8" ht="31.5" outlineLevel="3">
      <c r="A214" s="52" t="s">
        <v>31</v>
      </c>
      <c r="B214" s="53" t="s">
        <v>22</v>
      </c>
      <c r="C214" s="53" t="s">
        <v>34</v>
      </c>
      <c r="D214" s="53" t="s">
        <v>172</v>
      </c>
      <c r="E214" s="53" t="s">
        <v>32</v>
      </c>
      <c r="F214" s="56">
        <f>2637416-85112</f>
        <v>2552304</v>
      </c>
      <c r="G214" s="56">
        <f>2887136-96704</f>
        <v>2790432</v>
      </c>
      <c r="H214" s="56">
        <f>2887136+2944</f>
        <v>2890080</v>
      </c>
    </row>
    <row r="215" spans="1:8" s="14" customFormat="1" ht="31.5">
      <c r="A215" s="11" t="s">
        <v>173</v>
      </c>
      <c r="B215" s="12" t="s">
        <v>34</v>
      </c>
      <c r="C215" s="12" t="s">
        <v>18</v>
      </c>
      <c r="D215" s="12" t="s">
        <v>19</v>
      </c>
      <c r="E215" s="12" t="s">
        <v>20</v>
      </c>
      <c r="F215" s="13">
        <f t="shared" ref="F215:H217" si="37">F216</f>
        <v>33948050.420000002</v>
      </c>
      <c r="G215" s="13">
        <f t="shared" si="37"/>
        <v>6476595.0800000001</v>
      </c>
      <c r="H215" s="13">
        <f t="shared" si="37"/>
        <v>3000000</v>
      </c>
    </row>
    <row r="216" spans="1:8" ht="31.5" outlineLevel="1">
      <c r="A216" s="28" t="s">
        <v>174</v>
      </c>
      <c r="B216" s="16" t="s">
        <v>34</v>
      </c>
      <c r="C216" s="16" t="s">
        <v>175</v>
      </c>
      <c r="D216" s="16" t="s">
        <v>19</v>
      </c>
      <c r="E216" s="16" t="s">
        <v>20</v>
      </c>
      <c r="F216" s="17">
        <f t="shared" si="37"/>
        <v>33948050.420000002</v>
      </c>
      <c r="G216" s="17">
        <f t="shared" si="37"/>
        <v>6476595.0800000001</v>
      </c>
      <c r="H216" s="17">
        <f t="shared" si="37"/>
        <v>3000000</v>
      </c>
    </row>
    <row r="217" spans="1:8" ht="47.25" outlineLevel="1">
      <c r="A217" s="20" t="s">
        <v>82</v>
      </c>
      <c r="B217" s="16" t="s">
        <v>34</v>
      </c>
      <c r="C217" s="16" t="s">
        <v>175</v>
      </c>
      <c r="D217" s="16" t="s">
        <v>83</v>
      </c>
      <c r="E217" s="16" t="s">
        <v>20</v>
      </c>
      <c r="F217" s="19">
        <f t="shared" si="37"/>
        <v>33948050.420000002</v>
      </c>
      <c r="G217" s="19">
        <f t="shared" si="37"/>
        <v>6476595.0800000001</v>
      </c>
      <c r="H217" s="19">
        <f t="shared" si="37"/>
        <v>3000000</v>
      </c>
    </row>
    <row r="218" spans="1:8" ht="63" outlineLevel="1">
      <c r="A218" s="20" t="s">
        <v>84</v>
      </c>
      <c r="B218" s="16" t="s">
        <v>34</v>
      </c>
      <c r="C218" s="16" t="s">
        <v>175</v>
      </c>
      <c r="D218" s="16" t="s">
        <v>85</v>
      </c>
      <c r="E218" s="16" t="s">
        <v>20</v>
      </c>
      <c r="F218" s="19">
        <f>F219+F222+F225</f>
        <v>33948050.420000002</v>
      </c>
      <c r="G218" s="19">
        <f>G219+G222+G225</f>
        <v>6476595.0800000001</v>
      </c>
      <c r="H218" s="19">
        <f>H219+H222+H225</f>
        <v>3000000</v>
      </c>
    </row>
    <row r="219" spans="1:8" ht="31.5" outlineLevel="1">
      <c r="A219" s="15" t="s">
        <v>176</v>
      </c>
      <c r="B219" s="16" t="s">
        <v>34</v>
      </c>
      <c r="C219" s="16" t="s">
        <v>175</v>
      </c>
      <c r="D219" s="16" t="s">
        <v>177</v>
      </c>
      <c r="E219" s="16" t="s">
        <v>20</v>
      </c>
      <c r="F219" s="19">
        <f t="shared" ref="F219:H220" si="38">F220</f>
        <v>3000000</v>
      </c>
      <c r="G219" s="19">
        <f t="shared" si="38"/>
        <v>3000000</v>
      </c>
      <c r="H219" s="19">
        <f t="shared" si="38"/>
        <v>3000000</v>
      </c>
    </row>
    <row r="220" spans="1:8" ht="31.5" outlineLevel="1">
      <c r="A220" s="15" t="s">
        <v>37</v>
      </c>
      <c r="B220" s="16" t="s">
        <v>34</v>
      </c>
      <c r="C220" s="16" t="s">
        <v>175</v>
      </c>
      <c r="D220" s="16" t="s">
        <v>177</v>
      </c>
      <c r="E220" s="16" t="s">
        <v>38</v>
      </c>
      <c r="F220" s="19">
        <f t="shared" si="38"/>
        <v>3000000</v>
      </c>
      <c r="G220" s="19">
        <f t="shared" si="38"/>
        <v>3000000</v>
      </c>
      <c r="H220" s="19">
        <f t="shared" si="38"/>
        <v>3000000</v>
      </c>
    </row>
    <row r="221" spans="1:8" ht="31.5" outlineLevel="1">
      <c r="A221" s="15" t="s">
        <v>39</v>
      </c>
      <c r="B221" s="16" t="s">
        <v>34</v>
      </c>
      <c r="C221" s="16" t="s">
        <v>175</v>
      </c>
      <c r="D221" s="16" t="s">
        <v>177</v>
      </c>
      <c r="E221" s="16" t="s">
        <v>40</v>
      </c>
      <c r="F221" s="19">
        <v>3000000</v>
      </c>
      <c r="G221" s="19">
        <v>3000000</v>
      </c>
      <c r="H221" s="19">
        <v>3000000</v>
      </c>
    </row>
    <row r="222" spans="1:8" outlineLevel="1">
      <c r="A222" s="29" t="s">
        <v>178</v>
      </c>
      <c r="B222" s="30" t="s">
        <v>34</v>
      </c>
      <c r="C222" s="30" t="s">
        <v>175</v>
      </c>
      <c r="D222" s="31" t="s">
        <v>179</v>
      </c>
      <c r="E222" s="31" t="s">
        <v>20</v>
      </c>
      <c r="F222" s="32">
        <f t="shared" ref="F222:H223" si="39">F223</f>
        <v>30948050.420000002</v>
      </c>
      <c r="G222" s="32">
        <f t="shared" si="39"/>
        <v>0</v>
      </c>
      <c r="H222" s="32">
        <f t="shared" si="39"/>
        <v>0</v>
      </c>
    </row>
    <row r="223" spans="1:8" ht="31.5" outlineLevel="1">
      <c r="A223" s="29" t="s">
        <v>37</v>
      </c>
      <c r="B223" s="30" t="s">
        <v>34</v>
      </c>
      <c r="C223" s="30" t="s">
        <v>175</v>
      </c>
      <c r="D223" s="31" t="s">
        <v>179</v>
      </c>
      <c r="E223" s="31" t="s">
        <v>38</v>
      </c>
      <c r="F223" s="32">
        <f t="shared" si="39"/>
        <v>30948050.420000002</v>
      </c>
      <c r="G223" s="32">
        <f t="shared" si="39"/>
        <v>0</v>
      </c>
      <c r="H223" s="32">
        <f t="shared" si="39"/>
        <v>0</v>
      </c>
    </row>
    <row r="224" spans="1:8" ht="31.5" outlineLevel="1">
      <c r="A224" s="29" t="s">
        <v>39</v>
      </c>
      <c r="B224" s="30" t="s">
        <v>34</v>
      </c>
      <c r="C224" s="30" t="s">
        <v>175</v>
      </c>
      <c r="D224" s="31" t="s">
        <v>179</v>
      </c>
      <c r="E224" s="31" t="s">
        <v>40</v>
      </c>
      <c r="F224" s="32">
        <f>928441.51+30019608.91</f>
        <v>30948050.420000002</v>
      </c>
      <c r="G224" s="32">
        <v>0</v>
      </c>
      <c r="H224" s="32">
        <v>0</v>
      </c>
    </row>
    <row r="225" spans="1:8" ht="47.25" outlineLevel="1">
      <c r="A225" s="29" t="s">
        <v>180</v>
      </c>
      <c r="B225" s="30" t="s">
        <v>34</v>
      </c>
      <c r="C225" s="30" t="s">
        <v>175</v>
      </c>
      <c r="D225" s="31" t="s">
        <v>181</v>
      </c>
      <c r="E225" s="31" t="s">
        <v>20</v>
      </c>
      <c r="F225" s="32">
        <f t="shared" ref="F225:H226" si="40">F226</f>
        <v>0</v>
      </c>
      <c r="G225" s="32">
        <f t="shared" si="40"/>
        <v>3476595.08</v>
      </c>
      <c r="H225" s="32">
        <f t="shared" si="40"/>
        <v>0</v>
      </c>
    </row>
    <row r="226" spans="1:8" ht="31.5" outlineLevel="1">
      <c r="A226" s="29" t="s">
        <v>37</v>
      </c>
      <c r="B226" s="30" t="s">
        <v>34</v>
      </c>
      <c r="C226" s="30" t="s">
        <v>175</v>
      </c>
      <c r="D226" s="31" t="s">
        <v>181</v>
      </c>
      <c r="E226" s="31" t="s">
        <v>38</v>
      </c>
      <c r="F226" s="32">
        <f t="shared" si="40"/>
        <v>0</v>
      </c>
      <c r="G226" s="32">
        <f t="shared" si="40"/>
        <v>3476595.08</v>
      </c>
      <c r="H226" s="32">
        <f t="shared" si="40"/>
        <v>0</v>
      </c>
    </row>
    <row r="227" spans="1:8" ht="31.5" outlineLevel="1">
      <c r="A227" s="29" t="s">
        <v>39</v>
      </c>
      <c r="B227" s="30" t="s">
        <v>34</v>
      </c>
      <c r="C227" s="30" t="s">
        <v>175</v>
      </c>
      <c r="D227" s="31" t="s">
        <v>181</v>
      </c>
      <c r="E227" s="31" t="s">
        <v>40</v>
      </c>
      <c r="F227" s="32">
        <v>0</v>
      </c>
      <c r="G227" s="32">
        <f>104297.85+3372297.23</f>
        <v>3476595.08</v>
      </c>
      <c r="H227" s="32">
        <v>0</v>
      </c>
    </row>
    <row r="228" spans="1:8" s="14" customFormat="1">
      <c r="A228" s="11" t="s">
        <v>182</v>
      </c>
      <c r="B228" s="12" t="s">
        <v>52</v>
      </c>
      <c r="C228" s="12" t="s">
        <v>18</v>
      </c>
      <c r="D228" s="12" t="s">
        <v>19</v>
      </c>
      <c r="E228" s="12" t="s">
        <v>20</v>
      </c>
      <c r="F228" s="13">
        <f>F229+F240+F249+F261+F267</f>
        <v>64889320.609999999</v>
      </c>
      <c r="G228" s="13">
        <f t="shared" ref="G228:H228" si="41">G229+G240+G249+G261+G267</f>
        <v>44829525.810000002</v>
      </c>
      <c r="H228" s="13">
        <f t="shared" si="41"/>
        <v>46453225.810000002</v>
      </c>
    </row>
    <row r="229" spans="1:8" s="14" customFormat="1">
      <c r="A229" s="15" t="s">
        <v>183</v>
      </c>
      <c r="B229" s="16" t="s">
        <v>52</v>
      </c>
      <c r="C229" s="16" t="s">
        <v>54</v>
      </c>
      <c r="D229" s="16" t="s">
        <v>19</v>
      </c>
      <c r="E229" s="16" t="s">
        <v>20</v>
      </c>
      <c r="F229" s="19">
        <f>F230+F235</f>
        <v>4946125.8099999996</v>
      </c>
      <c r="G229" s="19">
        <f>G230+G235</f>
        <v>4947125.8099999996</v>
      </c>
      <c r="H229" s="19">
        <f>H230+H235</f>
        <v>4934125.8099999996</v>
      </c>
    </row>
    <row r="230" spans="1:8" s="14" customFormat="1" ht="63">
      <c r="A230" s="33" t="s">
        <v>184</v>
      </c>
      <c r="B230" s="16" t="s">
        <v>52</v>
      </c>
      <c r="C230" s="16" t="s">
        <v>54</v>
      </c>
      <c r="D230" s="16" t="s">
        <v>185</v>
      </c>
      <c r="E230" s="16" t="s">
        <v>20</v>
      </c>
      <c r="F230" s="19">
        <f t="shared" ref="F230:H233" si="42">F231</f>
        <v>12000</v>
      </c>
      <c r="G230" s="19">
        <f t="shared" si="42"/>
        <v>13000</v>
      </c>
      <c r="H230" s="19">
        <f t="shared" si="42"/>
        <v>0</v>
      </c>
    </row>
    <row r="231" spans="1:8" s="14" customFormat="1" ht="65.25" customHeight="1">
      <c r="A231" s="33" t="s">
        <v>186</v>
      </c>
      <c r="B231" s="16" t="s">
        <v>52</v>
      </c>
      <c r="C231" s="16" t="s">
        <v>54</v>
      </c>
      <c r="D231" s="16" t="s">
        <v>187</v>
      </c>
      <c r="E231" s="16" t="s">
        <v>20</v>
      </c>
      <c r="F231" s="19">
        <f t="shared" si="42"/>
        <v>12000</v>
      </c>
      <c r="G231" s="19">
        <f t="shared" si="42"/>
        <v>13000</v>
      </c>
      <c r="H231" s="19">
        <f t="shared" si="42"/>
        <v>0</v>
      </c>
    </row>
    <row r="232" spans="1:8" s="14" customFormat="1" ht="47.25">
      <c r="A232" s="34" t="s">
        <v>188</v>
      </c>
      <c r="B232" s="16" t="s">
        <v>52</v>
      </c>
      <c r="C232" s="16" t="s">
        <v>54</v>
      </c>
      <c r="D232" s="16" t="s">
        <v>189</v>
      </c>
      <c r="E232" s="16" t="s">
        <v>20</v>
      </c>
      <c r="F232" s="19">
        <f t="shared" si="42"/>
        <v>12000</v>
      </c>
      <c r="G232" s="19">
        <f t="shared" si="42"/>
        <v>13000</v>
      </c>
      <c r="H232" s="19">
        <f t="shared" si="42"/>
        <v>0</v>
      </c>
    </row>
    <row r="233" spans="1:8" s="14" customFormat="1">
      <c r="A233" s="34" t="s">
        <v>45</v>
      </c>
      <c r="B233" s="16" t="s">
        <v>52</v>
      </c>
      <c r="C233" s="16" t="s">
        <v>54</v>
      </c>
      <c r="D233" s="16" t="s">
        <v>189</v>
      </c>
      <c r="E233" s="16" t="s">
        <v>46</v>
      </c>
      <c r="F233" s="19">
        <f t="shared" si="42"/>
        <v>12000</v>
      </c>
      <c r="G233" s="19">
        <f t="shared" si="42"/>
        <v>13000</v>
      </c>
      <c r="H233" s="19">
        <f t="shared" si="42"/>
        <v>0</v>
      </c>
    </row>
    <row r="234" spans="1:8" s="14" customFormat="1" ht="47.25">
      <c r="A234" s="34" t="s">
        <v>190</v>
      </c>
      <c r="B234" s="16" t="s">
        <v>52</v>
      </c>
      <c r="C234" s="16" t="s">
        <v>54</v>
      </c>
      <c r="D234" s="16" t="s">
        <v>189</v>
      </c>
      <c r="E234" s="16" t="s">
        <v>191</v>
      </c>
      <c r="F234" s="19">
        <v>12000</v>
      </c>
      <c r="G234" s="19">
        <v>13000</v>
      </c>
      <c r="H234" s="19">
        <v>0</v>
      </c>
    </row>
    <row r="235" spans="1:8" s="14" customFormat="1" ht="31.5">
      <c r="A235" s="15" t="s">
        <v>23</v>
      </c>
      <c r="B235" s="16" t="s">
        <v>52</v>
      </c>
      <c r="C235" s="16" t="s">
        <v>54</v>
      </c>
      <c r="D235" s="16" t="s">
        <v>24</v>
      </c>
      <c r="E235" s="16" t="s">
        <v>20</v>
      </c>
      <c r="F235" s="19">
        <f t="shared" ref="F235:H238" si="43">F236</f>
        <v>4934125.8099999996</v>
      </c>
      <c r="G235" s="19">
        <f t="shared" si="43"/>
        <v>4934125.8099999996</v>
      </c>
      <c r="H235" s="19">
        <f t="shared" si="43"/>
        <v>4934125.8099999996</v>
      </c>
    </row>
    <row r="236" spans="1:8" s="14" customFormat="1" ht="31.5">
      <c r="A236" s="15" t="s">
        <v>25</v>
      </c>
      <c r="B236" s="16" t="s">
        <v>52</v>
      </c>
      <c r="C236" s="16" t="s">
        <v>54</v>
      </c>
      <c r="D236" s="16" t="s">
        <v>26</v>
      </c>
      <c r="E236" s="16" t="s">
        <v>20</v>
      </c>
      <c r="F236" s="19">
        <f t="shared" si="43"/>
        <v>4934125.8099999996</v>
      </c>
      <c r="G236" s="19">
        <f t="shared" si="43"/>
        <v>4934125.8099999996</v>
      </c>
      <c r="H236" s="19">
        <f t="shared" si="43"/>
        <v>4934125.8099999996</v>
      </c>
    </row>
    <row r="237" spans="1:8" s="14" customFormat="1" ht="47.25">
      <c r="A237" s="15" t="s">
        <v>192</v>
      </c>
      <c r="B237" s="16" t="s">
        <v>52</v>
      </c>
      <c r="C237" s="16" t="s">
        <v>54</v>
      </c>
      <c r="D237" s="16" t="s">
        <v>193</v>
      </c>
      <c r="E237" s="16" t="s">
        <v>20</v>
      </c>
      <c r="F237" s="19">
        <f t="shared" si="43"/>
        <v>4934125.8099999996</v>
      </c>
      <c r="G237" s="19">
        <f t="shared" si="43"/>
        <v>4934125.8099999996</v>
      </c>
      <c r="H237" s="19">
        <f t="shared" si="43"/>
        <v>4934125.8099999996</v>
      </c>
    </row>
    <row r="238" spans="1:8" s="14" customFormat="1" ht="31.5">
      <c r="A238" s="15" t="s">
        <v>37</v>
      </c>
      <c r="B238" s="16" t="s">
        <v>52</v>
      </c>
      <c r="C238" s="16" t="s">
        <v>54</v>
      </c>
      <c r="D238" s="16" t="s">
        <v>193</v>
      </c>
      <c r="E238" s="16" t="s">
        <v>38</v>
      </c>
      <c r="F238" s="19">
        <f t="shared" si="43"/>
        <v>4934125.8099999996</v>
      </c>
      <c r="G238" s="19">
        <f t="shared" si="43"/>
        <v>4934125.8099999996</v>
      </c>
      <c r="H238" s="19">
        <f t="shared" si="43"/>
        <v>4934125.8099999996</v>
      </c>
    </row>
    <row r="239" spans="1:8" s="14" customFormat="1" ht="31.5">
      <c r="A239" s="15" t="s">
        <v>39</v>
      </c>
      <c r="B239" s="16" t="s">
        <v>52</v>
      </c>
      <c r="C239" s="16" t="s">
        <v>54</v>
      </c>
      <c r="D239" s="16" t="s">
        <v>193</v>
      </c>
      <c r="E239" s="16" t="s">
        <v>40</v>
      </c>
      <c r="F239" s="19">
        <v>4934125.8099999996</v>
      </c>
      <c r="G239" s="19">
        <v>4934125.8099999996</v>
      </c>
      <c r="H239" s="19">
        <v>4934125.8099999996</v>
      </c>
    </row>
    <row r="240" spans="1:8" outlineLevel="1">
      <c r="A240" s="15" t="s">
        <v>194</v>
      </c>
      <c r="B240" s="16" t="s">
        <v>52</v>
      </c>
      <c r="C240" s="16" t="s">
        <v>195</v>
      </c>
      <c r="D240" s="16" t="s">
        <v>19</v>
      </c>
      <c r="E240" s="16" t="s">
        <v>20</v>
      </c>
      <c r="F240" s="17">
        <f t="shared" ref="F240:H241" si="44">F241</f>
        <v>16111400</v>
      </c>
      <c r="G240" s="17">
        <f t="shared" si="44"/>
        <v>1637900</v>
      </c>
      <c r="H240" s="17">
        <f t="shared" si="44"/>
        <v>1584600</v>
      </c>
    </row>
    <row r="241" spans="1:8" ht="31.5" outlineLevel="2">
      <c r="A241" s="20" t="s">
        <v>196</v>
      </c>
      <c r="B241" s="16" t="s">
        <v>52</v>
      </c>
      <c r="C241" s="16" t="s">
        <v>195</v>
      </c>
      <c r="D241" s="16" t="s">
        <v>197</v>
      </c>
      <c r="E241" s="16" t="s">
        <v>20</v>
      </c>
      <c r="F241" s="19">
        <f t="shared" si="44"/>
        <v>16111400</v>
      </c>
      <c r="G241" s="19">
        <f t="shared" si="44"/>
        <v>1637900</v>
      </c>
      <c r="H241" s="19">
        <f t="shared" si="44"/>
        <v>1584600</v>
      </c>
    </row>
    <row r="242" spans="1:8" ht="31.5" outlineLevel="2">
      <c r="A242" s="20" t="s">
        <v>198</v>
      </c>
      <c r="B242" s="16" t="s">
        <v>52</v>
      </c>
      <c r="C242" s="16" t="s">
        <v>195</v>
      </c>
      <c r="D242" s="16" t="s">
        <v>199</v>
      </c>
      <c r="E242" s="16" t="s">
        <v>20</v>
      </c>
      <c r="F242" s="19">
        <f>F243+F246</f>
        <v>16111400</v>
      </c>
      <c r="G242" s="19">
        <f>G243+G246</f>
        <v>1637900</v>
      </c>
      <c r="H242" s="19">
        <f>H243+H246</f>
        <v>1584600</v>
      </c>
    </row>
    <row r="243" spans="1:8" ht="31.5" outlineLevel="3">
      <c r="A243" s="20" t="s">
        <v>200</v>
      </c>
      <c r="B243" s="16" t="s">
        <v>52</v>
      </c>
      <c r="C243" s="16" t="s">
        <v>195</v>
      </c>
      <c r="D243" s="16" t="s">
        <v>201</v>
      </c>
      <c r="E243" s="16" t="s">
        <v>20</v>
      </c>
      <c r="F243" s="19">
        <f t="shared" ref="F243:H244" si="45">F244</f>
        <v>1343400</v>
      </c>
      <c r="G243" s="19">
        <f t="shared" si="45"/>
        <v>1637900</v>
      </c>
      <c r="H243" s="19">
        <f t="shared" si="45"/>
        <v>1584600</v>
      </c>
    </row>
    <row r="244" spans="1:8" ht="31.5" outlineLevel="3">
      <c r="A244" s="15" t="s">
        <v>37</v>
      </c>
      <c r="B244" s="16" t="s">
        <v>52</v>
      </c>
      <c r="C244" s="16" t="s">
        <v>195</v>
      </c>
      <c r="D244" s="16" t="s">
        <v>201</v>
      </c>
      <c r="E244" s="16" t="s">
        <v>38</v>
      </c>
      <c r="F244" s="19">
        <f t="shared" si="45"/>
        <v>1343400</v>
      </c>
      <c r="G244" s="19">
        <f t="shared" si="45"/>
        <v>1637900</v>
      </c>
      <c r="H244" s="19">
        <f t="shared" si="45"/>
        <v>1584600</v>
      </c>
    </row>
    <row r="245" spans="1:8" ht="31.5" outlineLevel="5">
      <c r="A245" s="15" t="s">
        <v>39</v>
      </c>
      <c r="B245" s="16" t="s">
        <v>52</v>
      </c>
      <c r="C245" s="16" t="s">
        <v>195</v>
      </c>
      <c r="D245" s="16" t="s">
        <v>201</v>
      </c>
      <c r="E245" s="16" t="s">
        <v>40</v>
      </c>
      <c r="F245" s="19">
        <v>1343400</v>
      </c>
      <c r="G245" s="19">
        <v>1637900</v>
      </c>
      <c r="H245" s="19">
        <f>1544600+40000</f>
        <v>1584600</v>
      </c>
    </row>
    <row r="246" spans="1:8" ht="31.5" outlineLevel="5">
      <c r="A246" s="110" t="s">
        <v>202</v>
      </c>
      <c r="B246" s="137" t="s">
        <v>52</v>
      </c>
      <c r="C246" s="137" t="s">
        <v>195</v>
      </c>
      <c r="D246" s="112" t="s">
        <v>203</v>
      </c>
      <c r="E246" s="112" t="s">
        <v>20</v>
      </c>
      <c r="F246" s="138">
        <f t="shared" ref="F246:H247" si="46">F247</f>
        <v>14768000</v>
      </c>
      <c r="G246" s="32">
        <f t="shared" si="46"/>
        <v>0</v>
      </c>
      <c r="H246" s="32">
        <f t="shared" si="46"/>
        <v>0</v>
      </c>
    </row>
    <row r="247" spans="1:8" ht="31.5" outlineLevel="5">
      <c r="A247" s="110" t="s">
        <v>37</v>
      </c>
      <c r="B247" s="137" t="s">
        <v>52</v>
      </c>
      <c r="C247" s="137" t="s">
        <v>195</v>
      </c>
      <c r="D247" s="112" t="s">
        <v>203</v>
      </c>
      <c r="E247" s="112" t="s">
        <v>38</v>
      </c>
      <c r="F247" s="138">
        <f t="shared" si="46"/>
        <v>14768000</v>
      </c>
      <c r="G247" s="32">
        <f t="shared" si="46"/>
        <v>0</v>
      </c>
      <c r="H247" s="32">
        <f t="shared" si="46"/>
        <v>0</v>
      </c>
    </row>
    <row r="248" spans="1:8" ht="31.5" outlineLevel="5">
      <c r="A248" s="110" t="s">
        <v>39</v>
      </c>
      <c r="B248" s="137" t="s">
        <v>52</v>
      </c>
      <c r="C248" s="137" t="s">
        <v>195</v>
      </c>
      <c r="D248" s="112" t="s">
        <v>203</v>
      </c>
      <c r="E248" s="112" t="s">
        <v>40</v>
      </c>
      <c r="F248" s="138">
        <f>365393.81+11814400+2588206.19</f>
        <v>14768000</v>
      </c>
      <c r="G248" s="32">
        <v>0</v>
      </c>
      <c r="H248" s="32">
        <v>0</v>
      </c>
    </row>
    <row r="249" spans="1:8" outlineLevel="5">
      <c r="A249" s="15" t="s">
        <v>204</v>
      </c>
      <c r="B249" s="16" t="s">
        <v>52</v>
      </c>
      <c r="C249" s="16" t="s">
        <v>205</v>
      </c>
      <c r="D249" s="16" t="s">
        <v>19</v>
      </c>
      <c r="E249" s="16" t="s">
        <v>20</v>
      </c>
      <c r="F249" s="19">
        <f t="shared" ref="F249:H250" si="47">F250</f>
        <v>39216012.969999999</v>
      </c>
      <c r="G249" s="19">
        <f t="shared" si="47"/>
        <v>37758000</v>
      </c>
      <c r="H249" s="19">
        <f t="shared" si="47"/>
        <v>39448000</v>
      </c>
    </row>
    <row r="250" spans="1:8" ht="31.5" outlineLevel="5">
      <c r="A250" s="20" t="s">
        <v>196</v>
      </c>
      <c r="B250" s="16" t="s">
        <v>52</v>
      </c>
      <c r="C250" s="16" t="s">
        <v>205</v>
      </c>
      <c r="D250" s="16" t="s">
        <v>197</v>
      </c>
      <c r="E250" s="16" t="s">
        <v>20</v>
      </c>
      <c r="F250" s="19">
        <f t="shared" si="47"/>
        <v>39216012.969999999</v>
      </c>
      <c r="G250" s="19">
        <f t="shared" si="47"/>
        <v>37758000</v>
      </c>
      <c r="H250" s="19">
        <f t="shared" si="47"/>
        <v>39448000</v>
      </c>
    </row>
    <row r="251" spans="1:8" ht="31.5" outlineLevel="5">
      <c r="A251" s="20" t="s">
        <v>206</v>
      </c>
      <c r="B251" s="16" t="s">
        <v>52</v>
      </c>
      <c r="C251" s="16" t="s">
        <v>205</v>
      </c>
      <c r="D251" s="16" t="s">
        <v>207</v>
      </c>
      <c r="E251" s="16" t="s">
        <v>20</v>
      </c>
      <c r="F251" s="19">
        <f>F252+F255+F258</f>
        <v>39216012.969999999</v>
      </c>
      <c r="G251" s="19">
        <f>G252+G255+G258</f>
        <v>37758000</v>
      </c>
      <c r="H251" s="19">
        <f>H252+H255+H258</f>
        <v>39448000</v>
      </c>
    </row>
    <row r="252" spans="1:8" ht="31.5" outlineLevel="5">
      <c r="A252" s="52" t="s">
        <v>208</v>
      </c>
      <c r="B252" s="53" t="s">
        <v>52</v>
      </c>
      <c r="C252" s="53" t="s">
        <v>205</v>
      </c>
      <c r="D252" s="53" t="s">
        <v>209</v>
      </c>
      <c r="E252" s="53" t="s">
        <v>20</v>
      </c>
      <c r="F252" s="55">
        <f t="shared" ref="F252:H253" si="48">F253</f>
        <v>21716012.969999999</v>
      </c>
      <c r="G252" s="19">
        <f t="shared" si="48"/>
        <v>25258000</v>
      </c>
      <c r="H252" s="19">
        <f t="shared" si="48"/>
        <v>25948000</v>
      </c>
    </row>
    <row r="253" spans="1:8" ht="31.5" outlineLevel="5">
      <c r="A253" s="52" t="s">
        <v>37</v>
      </c>
      <c r="B253" s="53" t="s">
        <v>52</v>
      </c>
      <c r="C253" s="53" t="s">
        <v>205</v>
      </c>
      <c r="D253" s="53" t="s">
        <v>209</v>
      </c>
      <c r="E253" s="53" t="s">
        <v>38</v>
      </c>
      <c r="F253" s="55">
        <f t="shared" si="48"/>
        <v>21716012.969999999</v>
      </c>
      <c r="G253" s="19">
        <f t="shared" si="48"/>
        <v>25258000</v>
      </c>
      <c r="H253" s="19">
        <f t="shared" si="48"/>
        <v>25948000</v>
      </c>
    </row>
    <row r="254" spans="1:8" ht="31.5" outlineLevel="5">
      <c r="A254" s="52" t="s">
        <v>39</v>
      </c>
      <c r="B254" s="53" t="s">
        <v>52</v>
      </c>
      <c r="C254" s="53" t="s">
        <v>205</v>
      </c>
      <c r="D254" s="53" t="s">
        <v>209</v>
      </c>
      <c r="E254" s="53" t="s">
        <v>40</v>
      </c>
      <c r="F254" s="55">
        <f>21073000-2500000+3143012.97</f>
        <v>21716012.969999999</v>
      </c>
      <c r="G254" s="19">
        <f>27758000-2500000</f>
        <v>25258000</v>
      </c>
      <c r="H254" s="19">
        <f>28488000-2500000-40000</f>
        <v>25948000</v>
      </c>
    </row>
    <row r="255" spans="1:8" ht="31.5" outlineLevel="5">
      <c r="A255" s="33" t="s">
        <v>210</v>
      </c>
      <c r="B255" s="16" t="s">
        <v>52</v>
      </c>
      <c r="C255" s="16" t="s">
        <v>205</v>
      </c>
      <c r="D255" s="16" t="s">
        <v>211</v>
      </c>
      <c r="E255" s="16" t="s">
        <v>20</v>
      </c>
      <c r="F255" s="19">
        <f t="shared" ref="F255:H256" si="49">F256</f>
        <v>12500000</v>
      </c>
      <c r="G255" s="19">
        <f t="shared" si="49"/>
        <v>7500000</v>
      </c>
      <c r="H255" s="19">
        <f t="shared" si="49"/>
        <v>8500000</v>
      </c>
    </row>
    <row r="256" spans="1:8" ht="31.5" outlineLevel="5">
      <c r="A256" s="15" t="s">
        <v>37</v>
      </c>
      <c r="B256" s="16" t="s">
        <v>52</v>
      </c>
      <c r="C256" s="16" t="s">
        <v>205</v>
      </c>
      <c r="D256" s="16" t="s">
        <v>211</v>
      </c>
      <c r="E256" s="16" t="s">
        <v>38</v>
      </c>
      <c r="F256" s="19">
        <f t="shared" si="49"/>
        <v>12500000</v>
      </c>
      <c r="G256" s="19">
        <f t="shared" si="49"/>
        <v>7500000</v>
      </c>
      <c r="H256" s="19">
        <f t="shared" si="49"/>
        <v>8500000</v>
      </c>
    </row>
    <row r="257" spans="1:8" ht="31.5" outlineLevel="5">
      <c r="A257" s="15" t="s">
        <v>39</v>
      </c>
      <c r="B257" s="16" t="s">
        <v>52</v>
      </c>
      <c r="C257" s="16" t="s">
        <v>205</v>
      </c>
      <c r="D257" s="16" t="s">
        <v>211</v>
      </c>
      <c r="E257" s="16" t="s">
        <v>40</v>
      </c>
      <c r="F257" s="19">
        <f>15000000-2500000</f>
        <v>12500000</v>
      </c>
      <c r="G257" s="19">
        <f>10000000-2500000</f>
        <v>7500000</v>
      </c>
      <c r="H257" s="19">
        <f>11000000-2500000</f>
        <v>8500000</v>
      </c>
    </row>
    <row r="258" spans="1:8" ht="78.75" outlineLevel="5">
      <c r="A258" s="35" t="s">
        <v>212</v>
      </c>
      <c r="B258" s="30" t="s">
        <v>52</v>
      </c>
      <c r="C258" s="30" t="s">
        <v>205</v>
      </c>
      <c r="D258" s="36" t="s">
        <v>213</v>
      </c>
      <c r="E258" s="36" t="s">
        <v>20</v>
      </c>
      <c r="F258" s="37">
        <f t="shared" ref="F258:H259" si="50">F259</f>
        <v>5000000</v>
      </c>
      <c r="G258" s="37">
        <f t="shared" si="50"/>
        <v>5000000</v>
      </c>
      <c r="H258" s="37">
        <f t="shared" si="50"/>
        <v>5000000</v>
      </c>
    </row>
    <row r="259" spans="1:8" ht="31.5" outlineLevel="5">
      <c r="A259" s="38" t="s">
        <v>214</v>
      </c>
      <c r="B259" s="30" t="s">
        <v>52</v>
      </c>
      <c r="C259" s="30" t="s">
        <v>205</v>
      </c>
      <c r="D259" s="36" t="s">
        <v>213</v>
      </c>
      <c r="E259" s="36" t="s">
        <v>38</v>
      </c>
      <c r="F259" s="37">
        <f t="shared" si="50"/>
        <v>5000000</v>
      </c>
      <c r="G259" s="37">
        <f t="shared" si="50"/>
        <v>5000000</v>
      </c>
      <c r="H259" s="37">
        <f t="shared" si="50"/>
        <v>5000000</v>
      </c>
    </row>
    <row r="260" spans="1:8" ht="31.5" outlineLevel="5">
      <c r="A260" s="38" t="s">
        <v>39</v>
      </c>
      <c r="B260" s="30" t="s">
        <v>52</v>
      </c>
      <c r="C260" s="30" t="s">
        <v>205</v>
      </c>
      <c r="D260" s="36" t="s">
        <v>213</v>
      </c>
      <c r="E260" s="36" t="s">
        <v>40</v>
      </c>
      <c r="F260" s="37">
        <v>5000000</v>
      </c>
      <c r="G260" s="39">
        <v>5000000</v>
      </c>
      <c r="H260" s="39">
        <v>5000000</v>
      </c>
    </row>
    <row r="261" spans="1:8" outlineLevel="5">
      <c r="A261" s="141" t="s">
        <v>498</v>
      </c>
      <c r="B261" s="142" t="s">
        <v>52</v>
      </c>
      <c r="C261" s="142" t="s">
        <v>175</v>
      </c>
      <c r="D261" s="142" t="s">
        <v>19</v>
      </c>
      <c r="E261" s="142" t="s">
        <v>20</v>
      </c>
      <c r="F261" s="143">
        <f t="shared" ref="F261:H265" si="51">F262</f>
        <v>324000</v>
      </c>
      <c r="G261" s="139">
        <f t="shared" si="51"/>
        <v>0</v>
      </c>
      <c r="H261" s="139">
        <f t="shared" si="51"/>
        <v>0</v>
      </c>
    </row>
    <row r="262" spans="1:8" ht="78.75" outlineLevel="5">
      <c r="A262" s="141" t="s">
        <v>499</v>
      </c>
      <c r="B262" s="142" t="s">
        <v>52</v>
      </c>
      <c r="C262" s="142" t="s">
        <v>175</v>
      </c>
      <c r="D262" s="142" t="s">
        <v>500</v>
      </c>
      <c r="E262" s="142" t="s">
        <v>20</v>
      </c>
      <c r="F262" s="144">
        <f t="shared" si="51"/>
        <v>324000</v>
      </c>
      <c r="G262" s="140">
        <f t="shared" si="51"/>
        <v>0</v>
      </c>
      <c r="H262" s="140">
        <f t="shared" si="51"/>
        <v>0</v>
      </c>
    </row>
    <row r="263" spans="1:8" ht="78.75" outlineLevel="5">
      <c r="A263" s="141" t="s">
        <v>501</v>
      </c>
      <c r="B263" s="142" t="s">
        <v>52</v>
      </c>
      <c r="C263" s="142" t="s">
        <v>175</v>
      </c>
      <c r="D263" s="142" t="s">
        <v>502</v>
      </c>
      <c r="E263" s="142" t="s">
        <v>20</v>
      </c>
      <c r="F263" s="144">
        <f t="shared" si="51"/>
        <v>324000</v>
      </c>
      <c r="G263" s="140">
        <f t="shared" si="51"/>
        <v>0</v>
      </c>
      <c r="H263" s="140">
        <f t="shared" si="51"/>
        <v>0</v>
      </c>
    </row>
    <row r="264" spans="1:8" ht="31.5" outlineLevel="5">
      <c r="A264" s="141" t="s">
        <v>503</v>
      </c>
      <c r="B264" s="142" t="s">
        <v>52</v>
      </c>
      <c r="C264" s="142" t="s">
        <v>175</v>
      </c>
      <c r="D264" s="142" t="s">
        <v>504</v>
      </c>
      <c r="E264" s="142" t="s">
        <v>20</v>
      </c>
      <c r="F264" s="144">
        <f t="shared" si="51"/>
        <v>324000</v>
      </c>
      <c r="G264" s="140">
        <f t="shared" si="51"/>
        <v>0</v>
      </c>
      <c r="H264" s="140">
        <f t="shared" si="51"/>
        <v>0</v>
      </c>
    </row>
    <row r="265" spans="1:8" ht="31.5" outlineLevel="5">
      <c r="A265" s="141" t="s">
        <v>37</v>
      </c>
      <c r="B265" s="142" t="s">
        <v>52</v>
      </c>
      <c r="C265" s="142" t="s">
        <v>175</v>
      </c>
      <c r="D265" s="142" t="s">
        <v>504</v>
      </c>
      <c r="E265" s="142" t="s">
        <v>38</v>
      </c>
      <c r="F265" s="144">
        <f t="shared" si="51"/>
        <v>324000</v>
      </c>
      <c r="G265" s="140">
        <f t="shared" si="51"/>
        <v>0</v>
      </c>
      <c r="H265" s="140">
        <f t="shared" si="51"/>
        <v>0</v>
      </c>
    </row>
    <row r="266" spans="1:8" ht="31.5" outlineLevel="5">
      <c r="A266" s="141" t="s">
        <v>39</v>
      </c>
      <c r="B266" s="142" t="s">
        <v>52</v>
      </c>
      <c r="C266" s="142" t="s">
        <v>175</v>
      </c>
      <c r="D266" s="142" t="s">
        <v>504</v>
      </c>
      <c r="E266" s="142" t="s">
        <v>40</v>
      </c>
      <c r="F266" s="144">
        <v>324000</v>
      </c>
      <c r="G266" s="140">
        <v>0</v>
      </c>
      <c r="H266" s="140">
        <v>0</v>
      </c>
    </row>
    <row r="267" spans="1:8" outlineLevel="5">
      <c r="A267" s="15" t="s">
        <v>215</v>
      </c>
      <c r="B267" s="16" t="s">
        <v>52</v>
      </c>
      <c r="C267" s="16" t="s">
        <v>216</v>
      </c>
      <c r="D267" s="16" t="s">
        <v>19</v>
      </c>
      <c r="E267" s="16" t="s">
        <v>20</v>
      </c>
      <c r="F267" s="17">
        <f>F268+F276</f>
        <v>4291781.83</v>
      </c>
      <c r="G267" s="17">
        <f>G268+G276</f>
        <v>486500</v>
      </c>
      <c r="H267" s="17">
        <f>H268+H276</f>
        <v>486500</v>
      </c>
    </row>
    <row r="268" spans="1:8" ht="31.5" outlineLevel="5">
      <c r="A268" s="20" t="s">
        <v>100</v>
      </c>
      <c r="B268" s="16" t="s">
        <v>52</v>
      </c>
      <c r="C268" s="16" t="s">
        <v>216</v>
      </c>
      <c r="D268" s="16" t="s">
        <v>101</v>
      </c>
      <c r="E268" s="16" t="s">
        <v>20</v>
      </c>
      <c r="F268" s="19">
        <f>F269</f>
        <v>3805281.83</v>
      </c>
      <c r="G268" s="19">
        <f>G269</f>
        <v>0</v>
      </c>
      <c r="H268" s="19">
        <f>H269</f>
        <v>0</v>
      </c>
    </row>
    <row r="269" spans="1:8" ht="33.75" customHeight="1" outlineLevel="5">
      <c r="A269" s="20" t="s">
        <v>102</v>
      </c>
      <c r="B269" s="16" t="s">
        <v>52</v>
      </c>
      <c r="C269" s="16" t="s">
        <v>216</v>
      </c>
      <c r="D269" s="16" t="s">
        <v>103</v>
      </c>
      <c r="E269" s="16" t="s">
        <v>20</v>
      </c>
      <c r="F269" s="19">
        <f>F270+F273</f>
        <v>3805281.83</v>
      </c>
      <c r="G269" s="19">
        <f>G270+G273</f>
        <v>0</v>
      </c>
      <c r="H269" s="19">
        <f>H270+H273</f>
        <v>0</v>
      </c>
    </row>
    <row r="270" spans="1:8" outlineLevel="5">
      <c r="A270" s="52" t="s">
        <v>217</v>
      </c>
      <c r="B270" s="53" t="s">
        <v>52</v>
      </c>
      <c r="C270" s="53" t="s">
        <v>216</v>
      </c>
      <c r="D270" s="53" t="s">
        <v>218</v>
      </c>
      <c r="E270" s="53" t="s">
        <v>20</v>
      </c>
      <c r="F270" s="55">
        <f t="shared" ref="F270:H271" si="52">F271</f>
        <v>3324000</v>
      </c>
      <c r="G270" s="19">
        <f t="shared" si="52"/>
        <v>0</v>
      </c>
      <c r="H270" s="19">
        <f t="shared" si="52"/>
        <v>0</v>
      </c>
    </row>
    <row r="271" spans="1:8" ht="31.5" outlineLevel="5">
      <c r="A271" s="52" t="s">
        <v>37</v>
      </c>
      <c r="B271" s="53" t="s">
        <v>52</v>
      </c>
      <c r="C271" s="53" t="s">
        <v>216</v>
      </c>
      <c r="D271" s="53" t="s">
        <v>218</v>
      </c>
      <c r="E271" s="53" t="s">
        <v>38</v>
      </c>
      <c r="F271" s="55">
        <f t="shared" si="52"/>
        <v>3324000</v>
      </c>
      <c r="G271" s="19">
        <f t="shared" si="52"/>
        <v>0</v>
      </c>
      <c r="H271" s="19">
        <f t="shared" si="52"/>
        <v>0</v>
      </c>
    </row>
    <row r="272" spans="1:8" ht="31.5" outlineLevel="5">
      <c r="A272" s="52" t="s">
        <v>39</v>
      </c>
      <c r="B272" s="53" t="s">
        <v>52</v>
      </c>
      <c r="C272" s="53" t="s">
        <v>216</v>
      </c>
      <c r="D272" s="53" t="s">
        <v>218</v>
      </c>
      <c r="E272" s="53" t="s">
        <v>40</v>
      </c>
      <c r="F272" s="55">
        <f>1500000+1824000</f>
        <v>3324000</v>
      </c>
      <c r="G272" s="19">
        <v>0</v>
      </c>
      <c r="H272" s="19">
        <v>0</v>
      </c>
    </row>
    <row r="273" spans="1:8" ht="31.5" outlineLevel="5">
      <c r="A273" s="52" t="s">
        <v>219</v>
      </c>
      <c r="B273" s="53" t="s">
        <v>52</v>
      </c>
      <c r="C273" s="53" t="s">
        <v>216</v>
      </c>
      <c r="D273" s="53" t="s">
        <v>220</v>
      </c>
      <c r="E273" s="53" t="s">
        <v>20</v>
      </c>
      <c r="F273" s="55">
        <f t="shared" ref="F273:H274" si="53">F274</f>
        <v>481281.82999999996</v>
      </c>
      <c r="G273" s="55">
        <f t="shared" si="53"/>
        <v>0</v>
      </c>
      <c r="H273" s="55">
        <f t="shared" si="53"/>
        <v>0</v>
      </c>
    </row>
    <row r="274" spans="1:8" ht="31.5" outlineLevel="5">
      <c r="A274" s="52" t="s">
        <v>37</v>
      </c>
      <c r="B274" s="53" t="s">
        <v>52</v>
      </c>
      <c r="C274" s="53" t="s">
        <v>216</v>
      </c>
      <c r="D274" s="53" t="s">
        <v>220</v>
      </c>
      <c r="E274" s="53" t="s">
        <v>38</v>
      </c>
      <c r="F274" s="55">
        <f t="shared" si="53"/>
        <v>481281.82999999996</v>
      </c>
      <c r="G274" s="55">
        <f t="shared" si="53"/>
        <v>0</v>
      </c>
      <c r="H274" s="55">
        <f t="shared" si="53"/>
        <v>0</v>
      </c>
    </row>
    <row r="275" spans="1:8" ht="31.5" outlineLevel="5">
      <c r="A275" s="52" t="s">
        <v>39</v>
      </c>
      <c r="B275" s="53" t="s">
        <v>52</v>
      </c>
      <c r="C275" s="53" t="s">
        <v>216</v>
      </c>
      <c r="D275" s="53" t="s">
        <v>220</v>
      </c>
      <c r="E275" s="53" t="s">
        <v>40</v>
      </c>
      <c r="F275" s="55">
        <f>1392682.93-911401.1</f>
        <v>481281.82999999996</v>
      </c>
      <c r="G275" s="55">
        <f>1409876.54-1409876.54</f>
        <v>0</v>
      </c>
      <c r="H275" s="55">
        <f>1409876.54-1409876.54</f>
        <v>0</v>
      </c>
    </row>
    <row r="276" spans="1:8" ht="47.25" outlineLevel="5">
      <c r="A276" s="15" t="s">
        <v>221</v>
      </c>
      <c r="B276" s="16" t="s">
        <v>52</v>
      </c>
      <c r="C276" s="16" t="s">
        <v>216</v>
      </c>
      <c r="D276" s="16" t="s">
        <v>222</v>
      </c>
      <c r="E276" s="16" t="s">
        <v>20</v>
      </c>
      <c r="F276" s="19">
        <f t="shared" ref="F276:H277" si="54">F277</f>
        <v>486500</v>
      </c>
      <c r="G276" s="19">
        <f t="shared" si="54"/>
        <v>486500</v>
      </c>
      <c r="H276" s="19">
        <f t="shared" si="54"/>
        <v>486500</v>
      </c>
    </row>
    <row r="277" spans="1:8" ht="47.25" outlineLevel="5">
      <c r="A277" s="15" t="s">
        <v>223</v>
      </c>
      <c r="B277" s="16" t="s">
        <v>52</v>
      </c>
      <c r="C277" s="16" t="s">
        <v>216</v>
      </c>
      <c r="D277" s="16" t="s">
        <v>224</v>
      </c>
      <c r="E277" s="16" t="s">
        <v>20</v>
      </c>
      <c r="F277" s="19">
        <f t="shared" si="54"/>
        <v>486500</v>
      </c>
      <c r="G277" s="19">
        <f t="shared" si="54"/>
        <v>486500</v>
      </c>
      <c r="H277" s="19">
        <f t="shared" si="54"/>
        <v>486500</v>
      </c>
    </row>
    <row r="278" spans="1:8" ht="31.5" outlineLevel="5">
      <c r="A278" s="15" t="s">
        <v>225</v>
      </c>
      <c r="B278" s="16" t="s">
        <v>52</v>
      </c>
      <c r="C278" s="16" t="s">
        <v>216</v>
      </c>
      <c r="D278" s="16" t="s">
        <v>226</v>
      </c>
      <c r="E278" s="16" t="s">
        <v>20</v>
      </c>
      <c r="F278" s="19">
        <f>F279+F281</f>
        <v>486500</v>
      </c>
      <c r="G278" s="19">
        <f>G279+G281</f>
        <v>486500</v>
      </c>
      <c r="H278" s="19">
        <f>H279+H281</f>
        <v>486500</v>
      </c>
    </row>
    <row r="279" spans="1:8" ht="31.5" outlineLevel="5">
      <c r="A279" s="15" t="s">
        <v>37</v>
      </c>
      <c r="B279" s="16" t="s">
        <v>52</v>
      </c>
      <c r="C279" s="16" t="s">
        <v>216</v>
      </c>
      <c r="D279" s="16" t="s">
        <v>226</v>
      </c>
      <c r="E279" s="16" t="s">
        <v>38</v>
      </c>
      <c r="F279" s="19">
        <f>F280</f>
        <v>386500</v>
      </c>
      <c r="G279" s="19">
        <f>G280</f>
        <v>386500</v>
      </c>
      <c r="H279" s="19">
        <f>H280</f>
        <v>386500</v>
      </c>
    </row>
    <row r="280" spans="1:8" ht="31.5" outlineLevel="5">
      <c r="A280" s="15" t="s">
        <v>39</v>
      </c>
      <c r="B280" s="16" t="s">
        <v>52</v>
      </c>
      <c r="C280" s="16" t="s">
        <v>216</v>
      </c>
      <c r="D280" s="16" t="s">
        <v>226</v>
      </c>
      <c r="E280" s="16" t="s">
        <v>40</v>
      </c>
      <c r="F280" s="19">
        <v>386500</v>
      </c>
      <c r="G280" s="19">
        <v>386500</v>
      </c>
      <c r="H280" s="19">
        <v>386500</v>
      </c>
    </row>
    <row r="281" spans="1:8" outlineLevel="5">
      <c r="A281" s="15" t="s">
        <v>45</v>
      </c>
      <c r="B281" s="16" t="s">
        <v>52</v>
      </c>
      <c r="C281" s="16" t="s">
        <v>216</v>
      </c>
      <c r="D281" s="16" t="s">
        <v>226</v>
      </c>
      <c r="E281" s="16" t="s">
        <v>46</v>
      </c>
      <c r="F281" s="19">
        <f>F282</f>
        <v>100000</v>
      </c>
      <c r="G281" s="19">
        <f>G282</f>
        <v>100000</v>
      </c>
      <c r="H281" s="19">
        <f>H282</f>
        <v>100000</v>
      </c>
    </row>
    <row r="282" spans="1:8" ht="47.25" outlineLevel="5">
      <c r="A282" s="15" t="s">
        <v>190</v>
      </c>
      <c r="B282" s="16" t="s">
        <v>52</v>
      </c>
      <c r="C282" s="16" t="s">
        <v>216</v>
      </c>
      <c r="D282" s="16" t="s">
        <v>226</v>
      </c>
      <c r="E282" s="16" t="s">
        <v>191</v>
      </c>
      <c r="F282" s="19">
        <v>100000</v>
      </c>
      <c r="G282" s="19">
        <v>100000</v>
      </c>
      <c r="H282" s="19">
        <v>100000</v>
      </c>
    </row>
    <row r="283" spans="1:8" s="14" customFormat="1">
      <c r="A283" s="11" t="s">
        <v>227</v>
      </c>
      <c r="B283" s="12" t="s">
        <v>54</v>
      </c>
      <c r="C283" s="12" t="s">
        <v>18</v>
      </c>
      <c r="D283" s="12" t="s">
        <v>19</v>
      </c>
      <c r="E283" s="12" t="s">
        <v>20</v>
      </c>
      <c r="F283" s="13">
        <f>F284+F296+F323+F359</f>
        <v>107457855.08</v>
      </c>
      <c r="G283" s="13">
        <f>G284+G296+G323+G359</f>
        <v>45932052.75</v>
      </c>
      <c r="H283" s="13">
        <f>H284+H296+H323+H359</f>
        <v>255152717.05000001</v>
      </c>
    </row>
    <row r="284" spans="1:8" s="14" customFormat="1">
      <c r="A284" s="15" t="s">
        <v>228</v>
      </c>
      <c r="B284" s="16" t="s">
        <v>54</v>
      </c>
      <c r="C284" s="16" t="s">
        <v>17</v>
      </c>
      <c r="D284" s="16" t="s">
        <v>19</v>
      </c>
      <c r="E284" s="16" t="s">
        <v>20</v>
      </c>
      <c r="F284" s="17">
        <f t="shared" ref="F284:H285" si="55">F285</f>
        <v>8275250</v>
      </c>
      <c r="G284" s="17">
        <f t="shared" si="55"/>
        <v>2200000</v>
      </c>
      <c r="H284" s="17">
        <f t="shared" si="55"/>
        <v>2200000</v>
      </c>
    </row>
    <row r="285" spans="1:8" s="14" customFormat="1" ht="78.75">
      <c r="A285" s="15" t="s">
        <v>229</v>
      </c>
      <c r="B285" s="16" t="s">
        <v>54</v>
      </c>
      <c r="C285" s="16" t="s">
        <v>17</v>
      </c>
      <c r="D285" s="16" t="s">
        <v>230</v>
      </c>
      <c r="E285" s="16" t="s">
        <v>20</v>
      </c>
      <c r="F285" s="17">
        <f t="shared" si="55"/>
        <v>8275250</v>
      </c>
      <c r="G285" s="17">
        <f t="shared" si="55"/>
        <v>2200000</v>
      </c>
      <c r="H285" s="17">
        <f t="shared" si="55"/>
        <v>2200000</v>
      </c>
    </row>
    <row r="286" spans="1:8" s="14" customFormat="1" ht="78.75">
      <c r="A286" s="15" t="s">
        <v>231</v>
      </c>
      <c r="B286" s="16" t="s">
        <v>54</v>
      </c>
      <c r="C286" s="16" t="s">
        <v>17</v>
      </c>
      <c r="D286" s="16" t="s">
        <v>232</v>
      </c>
      <c r="E286" s="16" t="s">
        <v>20</v>
      </c>
      <c r="F286" s="17">
        <f>F287+F290+F293</f>
        <v>8275250</v>
      </c>
      <c r="G286" s="17">
        <f t="shared" ref="G286:H286" si="56">G287+G290+G293</f>
        <v>2200000</v>
      </c>
      <c r="H286" s="17">
        <f t="shared" si="56"/>
        <v>2200000</v>
      </c>
    </row>
    <row r="287" spans="1:8" s="14" customFormat="1" ht="31.5">
      <c r="A287" s="40" t="s">
        <v>233</v>
      </c>
      <c r="B287" s="16" t="s">
        <v>54</v>
      </c>
      <c r="C287" s="16" t="s">
        <v>17</v>
      </c>
      <c r="D287" s="16" t="s">
        <v>234</v>
      </c>
      <c r="E287" s="16" t="s">
        <v>20</v>
      </c>
      <c r="F287" s="17">
        <f t="shared" ref="F287:H288" si="57">F288</f>
        <v>1900000</v>
      </c>
      <c r="G287" s="17">
        <f t="shared" si="57"/>
        <v>1900000</v>
      </c>
      <c r="H287" s="17">
        <f t="shared" si="57"/>
        <v>1900000</v>
      </c>
    </row>
    <row r="288" spans="1:8" s="14" customFormat="1" ht="31.5">
      <c r="A288" s="15" t="s">
        <v>37</v>
      </c>
      <c r="B288" s="16" t="s">
        <v>54</v>
      </c>
      <c r="C288" s="16" t="s">
        <v>17</v>
      </c>
      <c r="D288" s="16" t="s">
        <v>234</v>
      </c>
      <c r="E288" s="16" t="s">
        <v>38</v>
      </c>
      <c r="F288" s="17">
        <f t="shared" si="57"/>
        <v>1900000</v>
      </c>
      <c r="G288" s="17">
        <f t="shared" si="57"/>
        <v>1900000</v>
      </c>
      <c r="H288" s="17">
        <f t="shared" si="57"/>
        <v>1900000</v>
      </c>
    </row>
    <row r="289" spans="1:8" s="14" customFormat="1" ht="31.5">
      <c r="A289" s="15" t="s">
        <v>39</v>
      </c>
      <c r="B289" s="16" t="s">
        <v>54</v>
      </c>
      <c r="C289" s="16" t="s">
        <v>17</v>
      </c>
      <c r="D289" s="16" t="s">
        <v>234</v>
      </c>
      <c r="E289" s="16" t="s">
        <v>40</v>
      </c>
      <c r="F289" s="17">
        <v>1900000</v>
      </c>
      <c r="G289" s="17">
        <v>1900000</v>
      </c>
      <c r="H289" s="17">
        <v>1900000</v>
      </c>
    </row>
    <row r="290" spans="1:8" s="14" customFormat="1" ht="63">
      <c r="A290" s="136" t="s">
        <v>235</v>
      </c>
      <c r="B290" s="53" t="s">
        <v>54</v>
      </c>
      <c r="C290" s="53" t="s">
        <v>17</v>
      </c>
      <c r="D290" s="53" t="s">
        <v>236</v>
      </c>
      <c r="E290" s="53" t="s">
        <v>20</v>
      </c>
      <c r="F290" s="56">
        <f t="shared" ref="F290:H291" si="58">F291</f>
        <v>455062</v>
      </c>
      <c r="G290" s="17">
        <f t="shared" si="58"/>
        <v>300000</v>
      </c>
      <c r="H290" s="17">
        <f t="shared" si="58"/>
        <v>300000</v>
      </c>
    </row>
    <row r="291" spans="1:8" s="14" customFormat="1" ht="31.5">
      <c r="A291" s="52" t="s">
        <v>37</v>
      </c>
      <c r="B291" s="53" t="s">
        <v>54</v>
      </c>
      <c r="C291" s="53" t="s">
        <v>17</v>
      </c>
      <c r="D291" s="53" t="s">
        <v>236</v>
      </c>
      <c r="E291" s="53" t="s">
        <v>38</v>
      </c>
      <c r="F291" s="56">
        <f t="shared" si="58"/>
        <v>455062</v>
      </c>
      <c r="G291" s="17">
        <f t="shared" si="58"/>
        <v>300000</v>
      </c>
      <c r="H291" s="17">
        <f t="shared" si="58"/>
        <v>300000</v>
      </c>
    </row>
    <row r="292" spans="1:8" s="14" customFormat="1" ht="31.5">
      <c r="A292" s="52" t="s">
        <v>39</v>
      </c>
      <c r="B292" s="53" t="s">
        <v>54</v>
      </c>
      <c r="C292" s="53" t="s">
        <v>17</v>
      </c>
      <c r="D292" s="53" t="s">
        <v>236</v>
      </c>
      <c r="E292" s="53" t="s">
        <v>40</v>
      </c>
      <c r="F292" s="56">
        <f>300000+155062</f>
        <v>455062</v>
      </c>
      <c r="G292" s="17">
        <v>300000</v>
      </c>
      <c r="H292" s="17">
        <v>300000</v>
      </c>
    </row>
    <row r="293" spans="1:8" s="14" customFormat="1" ht="31.5">
      <c r="A293" s="146" t="s">
        <v>491</v>
      </c>
      <c r="B293" s="147" t="s">
        <v>54</v>
      </c>
      <c r="C293" s="147" t="s">
        <v>17</v>
      </c>
      <c r="D293" s="148" t="s">
        <v>497</v>
      </c>
      <c r="E293" s="148" t="s">
        <v>20</v>
      </c>
      <c r="F293" s="149">
        <f t="shared" ref="F293:H294" si="59">F294</f>
        <v>5920188</v>
      </c>
      <c r="G293" s="145">
        <f t="shared" si="59"/>
        <v>0</v>
      </c>
      <c r="H293" s="145">
        <f t="shared" si="59"/>
        <v>0</v>
      </c>
    </row>
    <row r="294" spans="1:8" s="14" customFormat="1">
      <c r="A294" s="52" t="s">
        <v>45</v>
      </c>
      <c r="B294" s="147" t="s">
        <v>54</v>
      </c>
      <c r="C294" s="147" t="s">
        <v>17</v>
      </c>
      <c r="D294" s="148" t="s">
        <v>497</v>
      </c>
      <c r="E294" s="148" t="s">
        <v>46</v>
      </c>
      <c r="F294" s="149">
        <f t="shared" si="59"/>
        <v>5920188</v>
      </c>
      <c r="G294" s="145">
        <f t="shared" si="59"/>
        <v>0</v>
      </c>
      <c r="H294" s="145">
        <f t="shared" si="59"/>
        <v>0</v>
      </c>
    </row>
    <row r="295" spans="1:8" s="14" customFormat="1">
      <c r="A295" s="131" t="s">
        <v>47</v>
      </c>
      <c r="B295" s="147" t="s">
        <v>54</v>
      </c>
      <c r="C295" s="147" t="s">
        <v>17</v>
      </c>
      <c r="D295" s="148" t="s">
        <v>497</v>
      </c>
      <c r="E295" s="148" t="s">
        <v>48</v>
      </c>
      <c r="F295" s="149">
        <v>5920188</v>
      </c>
      <c r="G295" s="145">
        <v>0</v>
      </c>
      <c r="H295" s="145">
        <v>0</v>
      </c>
    </row>
    <row r="296" spans="1:8" s="14" customFormat="1">
      <c r="A296" s="40" t="s">
        <v>237</v>
      </c>
      <c r="B296" s="16" t="s">
        <v>54</v>
      </c>
      <c r="C296" s="16" t="s">
        <v>22</v>
      </c>
      <c r="D296" s="16" t="s">
        <v>19</v>
      </c>
      <c r="E296" s="16" t="s">
        <v>20</v>
      </c>
      <c r="F296" s="17">
        <f t="shared" ref="F296:H297" si="60">F297</f>
        <v>63165728.459999993</v>
      </c>
      <c r="G296" s="17">
        <f t="shared" si="60"/>
        <v>5700000</v>
      </c>
      <c r="H296" s="17">
        <f t="shared" si="60"/>
        <v>215927216.49000001</v>
      </c>
    </row>
    <row r="297" spans="1:8" s="14" customFormat="1" ht="63">
      <c r="A297" s="15" t="s">
        <v>238</v>
      </c>
      <c r="B297" s="16" t="s">
        <v>54</v>
      </c>
      <c r="C297" s="16" t="s">
        <v>22</v>
      </c>
      <c r="D297" s="16" t="s">
        <v>239</v>
      </c>
      <c r="E297" s="16" t="s">
        <v>20</v>
      </c>
      <c r="F297" s="17">
        <f t="shared" si="60"/>
        <v>63165728.459999993</v>
      </c>
      <c r="G297" s="17">
        <f t="shared" si="60"/>
        <v>5700000</v>
      </c>
      <c r="H297" s="17">
        <f t="shared" si="60"/>
        <v>215927216.49000001</v>
      </c>
    </row>
    <row r="298" spans="1:8" s="14" customFormat="1" ht="63">
      <c r="A298" s="15" t="s">
        <v>240</v>
      </c>
      <c r="B298" s="16" t="s">
        <v>54</v>
      </c>
      <c r="C298" s="16" t="s">
        <v>22</v>
      </c>
      <c r="D298" s="16" t="s">
        <v>241</v>
      </c>
      <c r="E298" s="16" t="s">
        <v>20</v>
      </c>
      <c r="F298" s="17">
        <f>F299+F302+F305+F308+F311+F314+F317+F320</f>
        <v>63165728.459999993</v>
      </c>
      <c r="G298" s="17">
        <f t="shared" ref="G298:H298" si="61">G299+G302+G305+G308+G311+G314+G317+G320</f>
        <v>5700000</v>
      </c>
      <c r="H298" s="17">
        <f t="shared" si="61"/>
        <v>215927216.49000001</v>
      </c>
    </row>
    <row r="299" spans="1:8" s="14" customFormat="1">
      <c r="A299" s="52" t="s">
        <v>242</v>
      </c>
      <c r="B299" s="53" t="s">
        <v>54</v>
      </c>
      <c r="C299" s="53" t="s">
        <v>22</v>
      </c>
      <c r="D299" s="53" t="s">
        <v>243</v>
      </c>
      <c r="E299" s="53" t="s">
        <v>20</v>
      </c>
      <c r="F299" s="56">
        <f t="shared" ref="F299:H300" si="62">F300</f>
        <v>7150829.6299999999</v>
      </c>
      <c r="G299" s="17">
        <f t="shared" si="62"/>
        <v>2000000</v>
      </c>
      <c r="H299" s="17">
        <f t="shared" si="62"/>
        <v>0</v>
      </c>
    </row>
    <row r="300" spans="1:8" s="14" customFormat="1" ht="31.5">
      <c r="A300" s="52" t="s">
        <v>37</v>
      </c>
      <c r="B300" s="53" t="s">
        <v>54</v>
      </c>
      <c r="C300" s="53" t="s">
        <v>22</v>
      </c>
      <c r="D300" s="53" t="s">
        <v>243</v>
      </c>
      <c r="E300" s="53" t="s">
        <v>38</v>
      </c>
      <c r="F300" s="56">
        <f t="shared" si="62"/>
        <v>7150829.6299999999</v>
      </c>
      <c r="G300" s="17">
        <f t="shared" si="62"/>
        <v>2000000</v>
      </c>
      <c r="H300" s="17">
        <f t="shared" si="62"/>
        <v>0</v>
      </c>
    </row>
    <row r="301" spans="1:8" s="14" customFormat="1" ht="31.5">
      <c r="A301" s="52" t="s">
        <v>39</v>
      </c>
      <c r="B301" s="53" t="s">
        <v>54</v>
      </c>
      <c r="C301" s="53" t="s">
        <v>22</v>
      </c>
      <c r="D301" s="53" t="s">
        <v>243</v>
      </c>
      <c r="E301" s="53" t="s">
        <v>40</v>
      </c>
      <c r="F301" s="56">
        <f>2000000-585262.37+5736092</f>
        <v>7150829.6299999999</v>
      </c>
      <c r="G301" s="17">
        <v>2000000</v>
      </c>
      <c r="H301" s="17">
        <v>0</v>
      </c>
    </row>
    <row r="302" spans="1:8" s="14" customFormat="1" ht="110.25">
      <c r="A302" s="74" t="s">
        <v>474</v>
      </c>
      <c r="B302" s="53" t="s">
        <v>54</v>
      </c>
      <c r="C302" s="53" t="s">
        <v>22</v>
      </c>
      <c r="D302" s="53" t="s">
        <v>475</v>
      </c>
      <c r="E302" s="53" t="s">
        <v>20</v>
      </c>
      <c r="F302" s="59">
        <f>F303</f>
        <v>0</v>
      </c>
      <c r="G302" s="59">
        <f t="shared" ref="G302:H303" si="63">G303</f>
        <v>0</v>
      </c>
      <c r="H302" s="59">
        <f t="shared" si="63"/>
        <v>215927216.49000001</v>
      </c>
    </row>
    <row r="303" spans="1:8" s="14" customFormat="1" ht="31.5">
      <c r="A303" s="52" t="s">
        <v>256</v>
      </c>
      <c r="B303" s="53" t="s">
        <v>54</v>
      </c>
      <c r="C303" s="53" t="s">
        <v>22</v>
      </c>
      <c r="D303" s="53" t="s">
        <v>475</v>
      </c>
      <c r="E303" s="53" t="s">
        <v>257</v>
      </c>
      <c r="F303" s="59">
        <f>F304</f>
        <v>0</v>
      </c>
      <c r="G303" s="59">
        <f t="shared" si="63"/>
        <v>0</v>
      </c>
      <c r="H303" s="59">
        <f t="shared" si="63"/>
        <v>215927216.49000001</v>
      </c>
    </row>
    <row r="304" spans="1:8" s="14" customFormat="1">
      <c r="A304" s="58" t="s">
        <v>258</v>
      </c>
      <c r="B304" s="53" t="s">
        <v>54</v>
      </c>
      <c r="C304" s="53" t="s">
        <v>22</v>
      </c>
      <c r="D304" s="53" t="s">
        <v>475</v>
      </c>
      <c r="E304" s="53" t="s">
        <v>259</v>
      </c>
      <c r="F304" s="59">
        <v>0</v>
      </c>
      <c r="G304" s="59">
        <v>0</v>
      </c>
      <c r="H304" s="59">
        <v>215927216.49000001</v>
      </c>
    </row>
    <row r="305" spans="1:8" s="14" customFormat="1" ht="47.25">
      <c r="A305" s="110" t="s">
        <v>244</v>
      </c>
      <c r="B305" s="111" t="s">
        <v>54</v>
      </c>
      <c r="C305" s="111" t="s">
        <v>22</v>
      </c>
      <c r="D305" s="112" t="s">
        <v>245</v>
      </c>
      <c r="E305" s="112" t="s">
        <v>20</v>
      </c>
      <c r="F305" s="113">
        <f t="shared" ref="F305:H306" si="64">F306</f>
        <v>14924489.17</v>
      </c>
      <c r="G305" s="42">
        <f t="shared" si="64"/>
        <v>0</v>
      </c>
      <c r="H305" s="42">
        <f t="shared" si="64"/>
        <v>0</v>
      </c>
    </row>
    <row r="306" spans="1:8" s="14" customFormat="1" ht="31.5">
      <c r="A306" s="110" t="s">
        <v>37</v>
      </c>
      <c r="B306" s="111" t="s">
        <v>54</v>
      </c>
      <c r="C306" s="111" t="s">
        <v>22</v>
      </c>
      <c r="D306" s="112" t="s">
        <v>245</v>
      </c>
      <c r="E306" s="112" t="s">
        <v>38</v>
      </c>
      <c r="F306" s="113">
        <f t="shared" si="64"/>
        <v>14924489.17</v>
      </c>
      <c r="G306" s="42">
        <f t="shared" si="64"/>
        <v>0</v>
      </c>
      <c r="H306" s="42">
        <f t="shared" si="64"/>
        <v>0</v>
      </c>
    </row>
    <row r="307" spans="1:8" s="14" customFormat="1" ht="31.5">
      <c r="A307" s="110" t="s">
        <v>39</v>
      </c>
      <c r="B307" s="111" t="s">
        <v>54</v>
      </c>
      <c r="C307" s="111" t="s">
        <v>22</v>
      </c>
      <c r="D307" s="112" t="s">
        <v>245</v>
      </c>
      <c r="E307" s="112" t="s">
        <v>40</v>
      </c>
      <c r="F307" s="113">
        <f>430176.8+13909050+585262.37</f>
        <v>14924489.17</v>
      </c>
      <c r="G307" s="42">
        <v>0</v>
      </c>
      <c r="H307" s="42">
        <v>0</v>
      </c>
    </row>
    <row r="308" spans="1:8" s="14" customFormat="1">
      <c r="A308" s="52" t="s">
        <v>246</v>
      </c>
      <c r="B308" s="53" t="s">
        <v>54</v>
      </c>
      <c r="C308" s="53" t="s">
        <v>22</v>
      </c>
      <c r="D308" s="53" t="s">
        <v>247</v>
      </c>
      <c r="E308" s="53" t="s">
        <v>20</v>
      </c>
      <c r="F308" s="56">
        <f t="shared" ref="F308:H309" si="65">F309</f>
        <v>30622685</v>
      </c>
      <c r="G308" s="17">
        <f t="shared" si="65"/>
        <v>2000000</v>
      </c>
      <c r="H308" s="17">
        <f t="shared" si="65"/>
        <v>0</v>
      </c>
    </row>
    <row r="309" spans="1:8" s="14" customFormat="1" ht="31.5">
      <c r="A309" s="52" t="s">
        <v>37</v>
      </c>
      <c r="B309" s="53" t="s">
        <v>54</v>
      </c>
      <c r="C309" s="53" t="s">
        <v>22</v>
      </c>
      <c r="D309" s="53" t="s">
        <v>247</v>
      </c>
      <c r="E309" s="53" t="s">
        <v>38</v>
      </c>
      <c r="F309" s="56">
        <f t="shared" si="65"/>
        <v>30622685</v>
      </c>
      <c r="G309" s="17">
        <f t="shared" si="65"/>
        <v>2000000</v>
      </c>
      <c r="H309" s="17">
        <f t="shared" si="65"/>
        <v>0</v>
      </c>
    </row>
    <row r="310" spans="1:8" s="14" customFormat="1" ht="31.5">
      <c r="A310" s="52" t="s">
        <v>39</v>
      </c>
      <c r="B310" s="53" t="s">
        <v>54</v>
      </c>
      <c r="C310" s="53" t="s">
        <v>22</v>
      </c>
      <c r="D310" s="53" t="s">
        <v>247</v>
      </c>
      <c r="E310" s="53" t="s">
        <v>40</v>
      </c>
      <c r="F310" s="56">
        <f>2000000+16622685+12000000</f>
        <v>30622685</v>
      </c>
      <c r="G310" s="17">
        <v>2000000</v>
      </c>
      <c r="H310" s="17"/>
    </row>
    <row r="311" spans="1:8" s="14" customFormat="1">
      <c r="A311" s="150" t="s">
        <v>248</v>
      </c>
      <c r="B311" s="53" t="s">
        <v>54</v>
      </c>
      <c r="C311" s="53" t="s">
        <v>22</v>
      </c>
      <c r="D311" s="53" t="s">
        <v>249</v>
      </c>
      <c r="E311" s="53" t="s">
        <v>20</v>
      </c>
      <c r="F311" s="56">
        <f t="shared" ref="F311:H312" si="66">F312</f>
        <v>5353008.04</v>
      </c>
      <c r="G311" s="17">
        <f t="shared" si="66"/>
        <v>500000</v>
      </c>
      <c r="H311" s="17">
        <f t="shared" si="66"/>
        <v>0</v>
      </c>
    </row>
    <row r="312" spans="1:8" s="14" customFormat="1" ht="31.5">
      <c r="A312" s="52" t="s">
        <v>37</v>
      </c>
      <c r="B312" s="53" t="s">
        <v>54</v>
      </c>
      <c r="C312" s="53" t="s">
        <v>22</v>
      </c>
      <c r="D312" s="53" t="s">
        <v>249</v>
      </c>
      <c r="E312" s="53" t="s">
        <v>38</v>
      </c>
      <c r="F312" s="56">
        <f t="shared" si="66"/>
        <v>5353008.04</v>
      </c>
      <c r="G312" s="17">
        <f t="shared" si="66"/>
        <v>500000</v>
      </c>
      <c r="H312" s="17">
        <f t="shared" si="66"/>
        <v>0</v>
      </c>
    </row>
    <row r="313" spans="1:8" s="14" customFormat="1" ht="31.5">
      <c r="A313" s="52" t="s">
        <v>39</v>
      </c>
      <c r="B313" s="53" t="s">
        <v>54</v>
      </c>
      <c r="C313" s="53" t="s">
        <v>22</v>
      </c>
      <c r="D313" s="53" t="s">
        <v>249</v>
      </c>
      <c r="E313" s="53" t="s">
        <v>40</v>
      </c>
      <c r="F313" s="56">
        <f>500000+4853008.04</f>
        <v>5353008.04</v>
      </c>
      <c r="G313" s="17">
        <v>500000</v>
      </c>
      <c r="H313" s="17">
        <v>0</v>
      </c>
    </row>
    <row r="314" spans="1:8" s="14" customFormat="1">
      <c r="A314" s="15" t="s">
        <v>250</v>
      </c>
      <c r="B314" s="16" t="s">
        <v>54</v>
      </c>
      <c r="C314" s="16" t="s">
        <v>22</v>
      </c>
      <c r="D314" s="16" t="s">
        <v>251</v>
      </c>
      <c r="E314" s="16" t="s">
        <v>20</v>
      </c>
      <c r="F314" s="17">
        <f t="shared" ref="F314:H315" si="67">F315</f>
        <v>200000</v>
      </c>
      <c r="G314" s="17">
        <f t="shared" si="67"/>
        <v>200000</v>
      </c>
      <c r="H314" s="17">
        <f t="shared" si="67"/>
        <v>0</v>
      </c>
    </row>
    <row r="315" spans="1:8" s="14" customFormat="1" ht="31.5">
      <c r="A315" s="15" t="s">
        <v>37</v>
      </c>
      <c r="B315" s="16" t="s">
        <v>54</v>
      </c>
      <c r="C315" s="16" t="s">
        <v>22</v>
      </c>
      <c r="D315" s="16" t="s">
        <v>251</v>
      </c>
      <c r="E315" s="16" t="s">
        <v>38</v>
      </c>
      <c r="F315" s="17">
        <f t="shared" si="67"/>
        <v>200000</v>
      </c>
      <c r="G315" s="17">
        <f t="shared" si="67"/>
        <v>200000</v>
      </c>
      <c r="H315" s="17">
        <f t="shared" si="67"/>
        <v>0</v>
      </c>
    </row>
    <row r="316" spans="1:8" s="14" customFormat="1" ht="31.5">
      <c r="A316" s="15" t="s">
        <v>39</v>
      </c>
      <c r="B316" s="16" t="s">
        <v>54</v>
      </c>
      <c r="C316" s="16" t="s">
        <v>22</v>
      </c>
      <c r="D316" s="16" t="s">
        <v>251</v>
      </c>
      <c r="E316" s="16" t="s">
        <v>40</v>
      </c>
      <c r="F316" s="17">
        <v>200000</v>
      </c>
      <c r="G316" s="17">
        <v>200000</v>
      </c>
      <c r="H316" s="17">
        <v>0</v>
      </c>
    </row>
    <row r="317" spans="1:8" s="14" customFormat="1">
      <c r="A317" s="15" t="s">
        <v>252</v>
      </c>
      <c r="B317" s="16" t="s">
        <v>54</v>
      </c>
      <c r="C317" s="16" t="s">
        <v>22</v>
      </c>
      <c r="D317" s="16" t="s">
        <v>253</v>
      </c>
      <c r="E317" s="16" t="s">
        <v>20</v>
      </c>
      <c r="F317" s="17">
        <f t="shared" ref="F317:H318" si="68">F318</f>
        <v>3914716.62</v>
      </c>
      <c r="G317" s="17">
        <f t="shared" si="68"/>
        <v>0</v>
      </c>
      <c r="H317" s="17">
        <f t="shared" si="68"/>
        <v>0</v>
      </c>
    </row>
    <row r="318" spans="1:8" s="14" customFormat="1" ht="31.5">
      <c r="A318" s="15" t="s">
        <v>37</v>
      </c>
      <c r="B318" s="16" t="s">
        <v>54</v>
      </c>
      <c r="C318" s="16" t="s">
        <v>22</v>
      </c>
      <c r="D318" s="16" t="s">
        <v>253</v>
      </c>
      <c r="E318" s="16" t="s">
        <v>38</v>
      </c>
      <c r="F318" s="17">
        <f t="shared" si="68"/>
        <v>3914716.62</v>
      </c>
      <c r="G318" s="17">
        <f t="shared" si="68"/>
        <v>0</v>
      </c>
      <c r="H318" s="17">
        <f t="shared" si="68"/>
        <v>0</v>
      </c>
    </row>
    <row r="319" spans="1:8" s="14" customFormat="1" ht="31.5">
      <c r="A319" s="15" t="s">
        <v>39</v>
      </c>
      <c r="B319" s="16" t="s">
        <v>54</v>
      </c>
      <c r="C319" s="16" t="s">
        <v>22</v>
      </c>
      <c r="D319" s="16" t="s">
        <v>253</v>
      </c>
      <c r="E319" s="16" t="s">
        <v>40</v>
      </c>
      <c r="F319" s="17">
        <f>117441.5+3797275.12</f>
        <v>3914716.62</v>
      </c>
      <c r="G319" s="17">
        <v>0</v>
      </c>
      <c r="H319" s="17">
        <v>0</v>
      </c>
    </row>
    <row r="320" spans="1:8" s="14" customFormat="1" ht="47.25">
      <c r="A320" s="43" t="s">
        <v>254</v>
      </c>
      <c r="B320" s="16" t="s">
        <v>54</v>
      </c>
      <c r="C320" s="16" t="s">
        <v>22</v>
      </c>
      <c r="D320" s="16" t="s">
        <v>255</v>
      </c>
      <c r="E320" s="16" t="s">
        <v>20</v>
      </c>
      <c r="F320" s="17">
        <f t="shared" ref="F320:H321" si="69">F321</f>
        <v>1000000</v>
      </c>
      <c r="G320" s="17">
        <f t="shared" si="69"/>
        <v>1000000</v>
      </c>
      <c r="H320" s="17">
        <f t="shared" si="69"/>
        <v>0</v>
      </c>
    </row>
    <row r="321" spans="1:8" s="14" customFormat="1" ht="31.5">
      <c r="A321" s="15" t="s">
        <v>256</v>
      </c>
      <c r="B321" s="16" t="s">
        <v>54</v>
      </c>
      <c r="C321" s="16" t="s">
        <v>22</v>
      </c>
      <c r="D321" s="16" t="s">
        <v>255</v>
      </c>
      <c r="E321" s="16" t="s">
        <v>257</v>
      </c>
      <c r="F321" s="17">
        <f t="shared" si="69"/>
        <v>1000000</v>
      </c>
      <c r="G321" s="17">
        <f t="shared" si="69"/>
        <v>1000000</v>
      </c>
      <c r="H321" s="17">
        <f t="shared" si="69"/>
        <v>0</v>
      </c>
    </row>
    <row r="322" spans="1:8" s="14" customFormat="1">
      <c r="A322" s="40" t="s">
        <v>258</v>
      </c>
      <c r="B322" s="16" t="s">
        <v>54</v>
      </c>
      <c r="C322" s="16" t="s">
        <v>22</v>
      </c>
      <c r="D322" s="16" t="s">
        <v>255</v>
      </c>
      <c r="E322" s="16" t="s">
        <v>259</v>
      </c>
      <c r="F322" s="17">
        <v>1000000</v>
      </c>
      <c r="G322" s="17">
        <v>1000000</v>
      </c>
      <c r="H322" s="17">
        <v>0</v>
      </c>
    </row>
    <row r="323" spans="1:8" s="14" customFormat="1">
      <c r="A323" s="40" t="s">
        <v>260</v>
      </c>
      <c r="B323" s="16" t="s">
        <v>54</v>
      </c>
      <c r="C323" s="16" t="s">
        <v>34</v>
      </c>
      <c r="D323" s="16" t="s">
        <v>19</v>
      </c>
      <c r="E323" s="16" t="s">
        <v>20</v>
      </c>
      <c r="F323" s="17">
        <f>F324+F329+F343+F351</f>
        <v>36016725.729999997</v>
      </c>
      <c r="G323" s="17">
        <f>G324+G329+G343+G351</f>
        <v>38031895.829999998</v>
      </c>
      <c r="H323" s="17">
        <f>H324+H329+H343+H351</f>
        <v>37025337.359999999</v>
      </c>
    </row>
    <row r="324" spans="1:8" s="14" customFormat="1" ht="31.5">
      <c r="A324" s="15" t="s">
        <v>261</v>
      </c>
      <c r="B324" s="16" t="s">
        <v>54</v>
      </c>
      <c r="C324" s="16" t="s">
        <v>34</v>
      </c>
      <c r="D324" s="16" t="s">
        <v>262</v>
      </c>
      <c r="E324" s="16" t="s">
        <v>20</v>
      </c>
      <c r="F324" s="19">
        <f t="shared" ref="F324:H327" si="70">F325</f>
        <v>1373000</v>
      </c>
      <c r="G324" s="19">
        <f t="shared" si="70"/>
        <v>500000</v>
      </c>
      <c r="H324" s="19">
        <f t="shared" si="70"/>
        <v>500000</v>
      </c>
    </row>
    <row r="325" spans="1:8" s="14" customFormat="1" ht="47.25">
      <c r="A325" s="15" t="s">
        <v>263</v>
      </c>
      <c r="B325" s="16" t="s">
        <v>54</v>
      </c>
      <c r="C325" s="16" t="s">
        <v>34</v>
      </c>
      <c r="D325" s="16" t="s">
        <v>264</v>
      </c>
      <c r="E325" s="16" t="s">
        <v>20</v>
      </c>
      <c r="F325" s="19">
        <f t="shared" si="70"/>
        <v>1373000</v>
      </c>
      <c r="G325" s="19">
        <f t="shared" si="70"/>
        <v>500000</v>
      </c>
      <c r="H325" s="19">
        <f t="shared" si="70"/>
        <v>500000</v>
      </c>
    </row>
    <row r="326" spans="1:8" s="14" customFormat="1" ht="31.5">
      <c r="A326" s="52" t="s">
        <v>265</v>
      </c>
      <c r="B326" s="53" t="s">
        <v>54</v>
      </c>
      <c r="C326" s="53" t="s">
        <v>34</v>
      </c>
      <c r="D326" s="53" t="s">
        <v>266</v>
      </c>
      <c r="E326" s="53" t="s">
        <v>20</v>
      </c>
      <c r="F326" s="55">
        <f t="shared" si="70"/>
        <v>1373000</v>
      </c>
      <c r="G326" s="19">
        <f t="shared" si="70"/>
        <v>500000</v>
      </c>
      <c r="H326" s="19">
        <f t="shared" si="70"/>
        <v>500000</v>
      </c>
    </row>
    <row r="327" spans="1:8" s="14" customFormat="1" ht="31.5">
      <c r="A327" s="52" t="s">
        <v>37</v>
      </c>
      <c r="B327" s="53" t="s">
        <v>54</v>
      </c>
      <c r="C327" s="53" t="s">
        <v>34</v>
      </c>
      <c r="D327" s="53" t="s">
        <v>266</v>
      </c>
      <c r="E327" s="53" t="s">
        <v>38</v>
      </c>
      <c r="F327" s="55">
        <f t="shared" si="70"/>
        <v>1373000</v>
      </c>
      <c r="G327" s="19">
        <f t="shared" si="70"/>
        <v>500000</v>
      </c>
      <c r="H327" s="19">
        <f t="shared" si="70"/>
        <v>500000</v>
      </c>
    </row>
    <row r="328" spans="1:8" s="14" customFormat="1" ht="31.5">
      <c r="A328" s="52" t="s">
        <v>39</v>
      </c>
      <c r="B328" s="53" t="s">
        <v>54</v>
      </c>
      <c r="C328" s="53" t="s">
        <v>34</v>
      </c>
      <c r="D328" s="53" t="s">
        <v>266</v>
      </c>
      <c r="E328" s="53" t="s">
        <v>40</v>
      </c>
      <c r="F328" s="55">
        <f>500000+873000</f>
        <v>1373000</v>
      </c>
      <c r="G328" s="19">
        <v>500000</v>
      </c>
      <c r="H328" s="19">
        <v>500000</v>
      </c>
    </row>
    <row r="329" spans="1:8" s="14" customFormat="1" ht="63">
      <c r="A329" s="15" t="s">
        <v>238</v>
      </c>
      <c r="B329" s="16" t="s">
        <v>54</v>
      </c>
      <c r="C329" s="16" t="s">
        <v>34</v>
      </c>
      <c r="D329" s="16" t="s">
        <v>239</v>
      </c>
      <c r="E329" s="16" t="s">
        <v>20</v>
      </c>
      <c r="F329" s="17">
        <f>F330</f>
        <v>6964905.0800000001</v>
      </c>
      <c r="G329" s="17">
        <f>G330</f>
        <v>700000</v>
      </c>
      <c r="H329" s="17">
        <f>H330</f>
        <v>0</v>
      </c>
    </row>
    <row r="330" spans="1:8" s="14" customFormat="1" ht="63">
      <c r="A330" s="15" t="s">
        <v>240</v>
      </c>
      <c r="B330" s="16" t="s">
        <v>54</v>
      </c>
      <c r="C330" s="16" t="s">
        <v>34</v>
      </c>
      <c r="D330" s="16" t="s">
        <v>241</v>
      </c>
      <c r="E330" s="16" t="s">
        <v>20</v>
      </c>
      <c r="F330" s="17">
        <f>F331+F334+F337+F340</f>
        <v>6964905.0800000001</v>
      </c>
      <c r="G330" s="17">
        <f>G331+G334+G337+G340</f>
        <v>700000</v>
      </c>
      <c r="H330" s="17">
        <f>H331+H334+H337+H340</f>
        <v>0</v>
      </c>
    </row>
    <row r="331" spans="1:8" s="14" customFormat="1">
      <c r="A331" s="15" t="s">
        <v>267</v>
      </c>
      <c r="B331" s="16" t="s">
        <v>54</v>
      </c>
      <c r="C331" s="16" t="s">
        <v>34</v>
      </c>
      <c r="D331" s="16" t="s">
        <v>268</v>
      </c>
      <c r="E331" s="16" t="s">
        <v>20</v>
      </c>
      <c r="F331" s="17">
        <f t="shared" ref="F331:H332" si="71">F332</f>
        <v>500000</v>
      </c>
      <c r="G331" s="17">
        <f t="shared" si="71"/>
        <v>500000</v>
      </c>
      <c r="H331" s="17">
        <f t="shared" si="71"/>
        <v>0</v>
      </c>
    </row>
    <row r="332" spans="1:8" s="14" customFormat="1" ht="31.5">
      <c r="A332" s="15" t="s">
        <v>37</v>
      </c>
      <c r="B332" s="16" t="s">
        <v>54</v>
      </c>
      <c r="C332" s="16" t="s">
        <v>34</v>
      </c>
      <c r="D332" s="16" t="s">
        <v>268</v>
      </c>
      <c r="E332" s="16" t="s">
        <v>38</v>
      </c>
      <c r="F332" s="17">
        <f t="shared" si="71"/>
        <v>500000</v>
      </c>
      <c r="G332" s="17">
        <f t="shared" si="71"/>
        <v>500000</v>
      </c>
      <c r="H332" s="17">
        <f t="shared" si="71"/>
        <v>0</v>
      </c>
    </row>
    <row r="333" spans="1:8" s="14" customFormat="1" ht="31.5">
      <c r="A333" s="15" t="s">
        <v>39</v>
      </c>
      <c r="B333" s="16" t="s">
        <v>54</v>
      </c>
      <c r="C333" s="16" t="s">
        <v>34</v>
      </c>
      <c r="D333" s="16" t="s">
        <v>268</v>
      </c>
      <c r="E333" s="16" t="s">
        <v>40</v>
      </c>
      <c r="F333" s="17">
        <v>500000</v>
      </c>
      <c r="G333" s="17">
        <v>500000</v>
      </c>
      <c r="H333" s="17">
        <v>0</v>
      </c>
    </row>
    <row r="334" spans="1:8" s="14" customFormat="1" ht="47.25">
      <c r="A334" s="15" t="s">
        <v>269</v>
      </c>
      <c r="B334" s="16" t="s">
        <v>54</v>
      </c>
      <c r="C334" s="16" t="s">
        <v>34</v>
      </c>
      <c r="D334" s="16" t="s">
        <v>270</v>
      </c>
      <c r="E334" s="16" t="s">
        <v>20</v>
      </c>
      <c r="F334" s="17">
        <f t="shared" ref="F334:H335" si="72">F335</f>
        <v>3190334.08</v>
      </c>
      <c r="G334" s="17">
        <f t="shared" si="72"/>
        <v>0</v>
      </c>
      <c r="H334" s="17">
        <f t="shared" si="72"/>
        <v>0</v>
      </c>
    </row>
    <row r="335" spans="1:8" s="14" customFormat="1" ht="31.5">
      <c r="A335" s="15" t="s">
        <v>37</v>
      </c>
      <c r="B335" s="16" t="s">
        <v>54</v>
      </c>
      <c r="C335" s="16" t="s">
        <v>34</v>
      </c>
      <c r="D335" s="16" t="s">
        <v>270</v>
      </c>
      <c r="E335" s="16" t="s">
        <v>38</v>
      </c>
      <c r="F335" s="17">
        <f t="shared" si="72"/>
        <v>3190334.08</v>
      </c>
      <c r="G335" s="17">
        <f t="shared" si="72"/>
        <v>0</v>
      </c>
      <c r="H335" s="17">
        <f t="shared" si="72"/>
        <v>0</v>
      </c>
    </row>
    <row r="336" spans="1:8" s="14" customFormat="1" ht="31.5">
      <c r="A336" s="15" t="s">
        <v>39</v>
      </c>
      <c r="B336" s="16" t="s">
        <v>54</v>
      </c>
      <c r="C336" s="16" t="s">
        <v>34</v>
      </c>
      <c r="D336" s="16" t="s">
        <v>270</v>
      </c>
      <c r="E336" s="16" t="s">
        <v>40</v>
      </c>
      <c r="F336" s="17">
        <f>1595167.04+1595167.04</f>
        <v>3190334.08</v>
      </c>
      <c r="G336" s="17">
        <v>0</v>
      </c>
      <c r="H336" s="17">
        <v>0</v>
      </c>
    </row>
    <row r="337" spans="1:8" s="14" customFormat="1">
      <c r="A337" s="44" t="s">
        <v>271</v>
      </c>
      <c r="B337" s="16" t="s">
        <v>54</v>
      </c>
      <c r="C337" s="16" t="s">
        <v>34</v>
      </c>
      <c r="D337" s="16" t="s">
        <v>272</v>
      </c>
      <c r="E337" s="16" t="s">
        <v>20</v>
      </c>
      <c r="F337" s="17">
        <f t="shared" ref="F337:H338" si="73">F338</f>
        <v>200000</v>
      </c>
      <c r="G337" s="17">
        <f t="shared" si="73"/>
        <v>200000</v>
      </c>
      <c r="H337" s="17">
        <f t="shared" si="73"/>
        <v>0</v>
      </c>
    </row>
    <row r="338" spans="1:8" s="14" customFormat="1" ht="31.5">
      <c r="A338" s="15" t="s">
        <v>37</v>
      </c>
      <c r="B338" s="16" t="s">
        <v>54</v>
      </c>
      <c r="C338" s="16" t="s">
        <v>34</v>
      </c>
      <c r="D338" s="16" t="s">
        <v>272</v>
      </c>
      <c r="E338" s="16" t="s">
        <v>38</v>
      </c>
      <c r="F338" s="17">
        <f t="shared" si="73"/>
        <v>200000</v>
      </c>
      <c r="G338" s="17">
        <f t="shared" si="73"/>
        <v>200000</v>
      </c>
      <c r="H338" s="17">
        <f t="shared" si="73"/>
        <v>0</v>
      </c>
    </row>
    <row r="339" spans="1:8" s="14" customFormat="1" ht="31.5">
      <c r="A339" s="15" t="s">
        <v>39</v>
      </c>
      <c r="B339" s="16" t="s">
        <v>54</v>
      </c>
      <c r="C339" s="16" t="s">
        <v>34</v>
      </c>
      <c r="D339" s="16" t="s">
        <v>272</v>
      </c>
      <c r="E339" s="16" t="s">
        <v>40</v>
      </c>
      <c r="F339" s="17">
        <v>200000</v>
      </c>
      <c r="G339" s="17">
        <v>200000</v>
      </c>
      <c r="H339" s="17">
        <v>0</v>
      </c>
    </row>
    <row r="340" spans="1:8" s="14" customFormat="1" ht="31.5">
      <c r="A340" s="15" t="s">
        <v>273</v>
      </c>
      <c r="B340" s="16" t="s">
        <v>54</v>
      </c>
      <c r="C340" s="16" t="s">
        <v>34</v>
      </c>
      <c r="D340" s="16" t="s">
        <v>274</v>
      </c>
      <c r="E340" s="16" t="s">
        <v>20</v>
      </c>
      <c r="F340" s="17">
        <f t="shared" ref="F340:H341" si="74">F341</f>
        <v>3074571</v>
      </c>
      <c r="G340" s="17">
        <f t="shared" si="74"/>
        <v>0</v>
      </c>
      <c r="H340" s="17">
        <f t="shared" si="74"/>
        <v>0</v>
      </c>
    </row>
    <row r="341" spans="1:8" s="14" customFormat="1" ht="31.5">
      <c r="A341" s="15" t="s">
        <v>37</v>
      </c>
      <c r="B341" s="16" t="s">
        <v>54</v>
      </c>
      <c r="C341" s="16" t="s">
        <v>34</v>
      </c>
      <c r="D341" s="16" t="s">
        <v>274</v>
      </c>
      <c r="E341" s="16" t="s">
        <v>38</v>
      </c>
      <c r="F341" s="17">
        <f t="shared" si="74"/>
        <v>3074571</v>
      </c>
      <c r="G341" s="17">
        <f t="shared" si="74"/>
        <v>0</v>
      </c>
      <c r="H341" s="17">
        <f t="shared" si="74"/>
        <v>0</v>
      </c>
    </row>
    <row r="342" spans="1:8" s="14" customFormat="1" ht="31.5">
      <c r="A342" s="15" t="s">
        <v>39</v>
      </c>
      <c r="B342" s="16" t="s">
        <v>54</v>
      </c>
      <c r="C342" s="16" t="s">
        <v>34</v>
      </c>
      <c r="D342" s="16" t="s">
        <v>274</v>
      </c>
      <c r="E342" s="16" t="s">
        <v>40</v>
      </c>
      <c r="F342" s="17">
        <v>3074571</v>
      </c>
      <c r="G342" s="17">
        <v>0</v>
      </c>
      <c r="H342" s="17">
        <v>0</v>
      </c>
    </row>
    <row r="343" spans="1:8" s="14" customFormat="1" ht="47.25">
      <c r="A343" s="15" t="s">
        <v>275</v>
      </c>
      <c r="B343" s="16" t="s">
        <v>54</v>
      </c>
      <c r="C343" s="16" t="s">
        <v>34</v>
      </c>
      <c r="D343" s="16" t="s">
        <v>276</v>
      </c>
      <c r="E343" s="16" t="s">
        <v>20</v>
      </c>
      <c r="F343" s="17">
        <f t="shared" ref="F343:H346" si="75">F344</f>
        <v>7315397.6400000006</v>
      </c>
      <c r="G343" s="17">
        <f t="shared" si="75"/>
        <v>27969181.349999998</v>
      </c>
      <c r="H343" s="17">
        <f t="shared" si="75"/>
        <v>27661082.379999999</v>
      </c>
    </row>
    <row r="344" spans="1:8" s="14" customFormat="1" ht="31.5">
      <c r="A344" s="15" t="s">
        <v>277</v>
      </c>
      <c r="B344" s="16" t="s">
        <v>54</v>
      </c>
      <c r="C344" s="16" t="s">
        <v>34</v>
      </c>
      <c r="D344" s="16" t="s">
        <v>278</v>
      </c>
      <c r="E344" s="16" t="s">
        <v>20</v>
      </c>
      <c r="F344" s="17">
        <f>F345+F348</f>
        <v>7315397.6400000006</v>
      </c>
      <c r="G344" s="17">
        <f t="shared" ref="G344:H344" si="76">G345+G348</f>
        <v>27969181.349999998</v>
      </c>
      <c r="H344" s="17">
        <f t="shared" si="76"/>
        <v>27661082.379999999</v>
      </c>
    </row>
    <row r="345" spans="1:8" s="14" customFormat="1" ht="31.5">
      <c r="A345" s="40" t="s">
        <v>279</v>
      </c>
      <c r="B345" s="16" t="s">
        <v>54</v>
      </c>
      <c r="C345" s="16" t="s">
        <v>34</v>
      </c>
      <c r="D345" s="16" t="s">
        <v>280</v>
      </c>
      <c r="E345" s="16" t="s">
        <v>20</v>
      </c>
      <c r="F345" s="17">
        <f t="shared" si="75"/>
        <v>0</v>
      </c>
      <c r="G345" s="17">
        <f t="shared" si="75"/>
        <v>20512078.809999999</v>
      </c>
      <c r="H345" s="17">
        <f t="shared" si="75"/>
        <v>20512078.809999999</v>
      </c>
    </row>
    <row r="346" spans="1:8" s="14" customFormat="1" ht="31.5">
      <c r="A346" s="15" t="s">
        <v>37</v>
      </c>
      <c r="B346" s="16" t="s">
        <v>54</v>
      </c>
      <c r="C346" s="16" t="s">
        <v>34</v>
      </c>
      <c r="D346" s="16" t="s">
        <v>280</v>
      </c>
      <c r="E346" s="16" t="s">
        <v>38</v>
      </c>
      <c r="F346" s="17">
        <f t="shared" si="75"/>
        <v>0</v>
      </c>
      <c r="G346" s="17">
        <f t="shared" si="75"/>
        <v>20512078.809999999</v>
      </c>
      <c r="H346" s="17">
        <f t="shared" si="75"/>
        <v>20512078.809999999</v>
      </c>
    </row>
    <row r="347" spans="1:8" s="14" customFormat="1" ht="31.5">
      <c r="A347" s="15" t="s">
        <v>39</v>
      </c>
      <c r="B347" s="16" t="s">
        <v>54</v>
      </c>
      <c r="C347" s="16" t="s">
        <v>34</v>
      </c>
      <c r="D347" s="16" t="s">
        <v>280</v>
      </c>
      <c r="E347" s="16" t="s">
        <v>40</v>
      </c>
      <c r="F347" s="17">
        <v>0</v>
      </c>
      <c r="G347" s="17">
        <f>615362.36+19896716.45</f>
        <v>20512078.809999999</v>
      </c>
      <c r="H347" s="17">
        <f>615362.36+19896716.45</f>
        <v>20512078.809999999</v>
      </c>
    </row>
    <row r="348" spans="1:8" s="14" customFormat="1" ht="31.5">
      <c r="A348" s="63" t="s">
        <v>472</v>
      </c>
      <c r="B348" s="65" t="s">
        <v>54</v>
      </c>
      <c r="C348" s="65" t="s">
        <v>34</v>
      </c>
      <c r="D348" s="67" t="s">
        <v>473</v>
      </c>
      <c r="E348" s="67" t="s">
        <v>20</v>
      </c>
      <c r="F348" s="68">
        <f>F349</f>
        <v>7315397.6400000006</v>
      </c>
      <c r="G348" s="68">
        <f t="shared" ref="G348:H349" si="77">G349</f>
        <v>7457102.5399999991</v>
      </c>
      <c r="H348" s="68">
        <f t="shared" si="77"/>
        <v>7149003.5699999994</v>
      </c>
    </row>
    <row r="349" spans="1:8" s="14" customFormat="1" ht="31.5">
      <c r="A349" s="64" t="s">
        <v>37</v>
      </c>
      <c r="B349" s="65" t="s">
        <v>54</v>
      </c>
      <c r="C349" s="65" t="s">
        <v>34</v>
      </c>
      <c r="D349" s="67" t="s">
        <v>473</v>
      </c>
      <c r="E349" s="66" t="s">
        <v>38</v>
      </c>
      <c r="F349" s="68">
        <f>F350</f>
        <v>7315397.6400000006</v>
      </c>
      <c r="G349" s="68">
        <f t="shared" si="77"/>
        <v>7457102.5399999991</v>
      </c>
      <c r="H349" s="68">
        <f t="shared" si="77"/>
        <v>7149003.5699999994</v>
      </c>
    </row>
    <row r="350" spans="1:8" s="14" customFormat="1" ht="31.5">
      <c r="A350" s="64" t="s">
        <v>39</v>
      </c>
      <c r="B350" s="65" t="s">
        <v>54</v>
      </c>
      <c r="C350" s="65" t="s">
        <v>34</v>
      </c>
      <c r="D350" s="67" t="s">
        <v>473</v>
      </c>
      <c r="E350" s="66" t="s">
        <v>40</v>
      </c>
      <c r="F350" s="68">
        <f>7278820.65+36576.99</f>
        <v>7315397.6400000006</v>
      </c>
      <c r="G350" s="68">
        <f>7419817.02+37285.52</f>
        <v>7457102.5399999991</v>
      </c>
      <c r="H350" s="68">
        <f>7113258.55+35745.02</f>
        <v>7149003.5699999994</v>
      </c>
    </row>
    <row r="351" spans="1:8" s="14" customFormat="1" ht="31.5">
      <c r="A351" s="15" t="s">
        <v>146</v>
      </c>
      <c r="B351" s="16" t="s">
        <v>54</v>
      </c>
      <c r="C351" s="16" t="s">
        <v>34</v>
      </c>
      <c r="D351" s="16" t="s">
        <v>147</v>
      </c>
      <c r="E351" s="16" t="s">
        <v>20</v>
      </c>
      <c r="F351" s="17">
        <f>F352</f>
        <v>20363423.009999998</v>
      </c>
      <c r="G351" s="17">
        <f>G352</f>
        <v>8862714.4800000004</v>
      </c>
      <c r="H351" s="17">
        <f>H352</f>
        <v>8864254.9800000004</v>
      </c>
    </row>
    <row r="352" spans="1:8" s="14" customFormat="1" ht="31.5">
      <c r="A352" s="15" t="s">
        <v>148</v>
      </c>
      <c r="B352" s="16" t="s">
        <v>54</v>
      </c>
      <c r="C352" s="16" t="s">
        <v>34</v>
      </c>
      <c r="D352" s="16" t="s">
        <v>149</v>
      </c>
      <c r="E352" s="16" t="s">
        <v>20</v>
      </c>
      <c r="F352" s="17">
        <f>F353+F356</f>
        <v>20363423.009999998</v>
      </c>
      <c r="G352" s="17">
        <f>G353+G356</f>
        <v>8862714.4800000004</v>
      </c>
      <c r="H352" s="17">
        <f>H353+H356</f>
        <v>8864254.9800000004</v>
      </c>
    </row>
    <row r="353" spans="1:8" s="14" customFormat="1">
      <c r="A353" s="52" t="s">
        <v>281</v>
      </c>
      <c r="B353" s="53" t="s">
        <v>54</v>
      </c>
      <c r="C353" s="53" t="s">
        <v>34</v>
      </c>
      <c r="D353" s="53" t="s">
        <v>282</v>
      </c>
      <c r="E353" s="53" t="s">
        <v>20</v>
      </c>
      <c r="F353" s="56">
        <f t="shared" ref="F353:H354" si="78">F354</f>
        <v>15363423.01</v>
      </c>
      <c r="G353" s="56">
        <f t="shared" si="78"/>
        <v>3862714.48</v>
      </c>
      <c r="H353" s="56">
        <f t="shared" si="78"/>
        <v>3864254.98</v>
      </c>
    </row>
    <row r="354" spans="1:8" s="14" customFormat="1" ht="31.5">
      <c r="A354" s="52" t="s">
        <v>37</v>
      </c>
      <c r="B354" s="53" t="s">
        <v>54</v>
      </c>
      <c r="C354" s="53" t="s">
        <v>34</v>
      </c>
      <c r="D354" s="53" t="s">
        <v>282</v>
      </c>
      <c r="E354" s="53" t="s">
        <v>38</v>
      </c>
      <c r="F354" s="56">
        <f t="shared" si="78"/>
        <v>15363423.01</v>
      </c>
      <c r="G354" s="56">
        <f t="shared" si="78"/>
        <v>3862714.48</v>
      </c>
      <c r="H354" s="56">
        <f t="shared" si="78"/>
        <v>3864254.98</v>
      </c>
    </row>
    <row r="355" spans="1:8" s="14" customFormat="1" ht="31.5">
      <c r="A355" s="52" t="s">
        <v>39</v>
      </c>
      <c r="B355" s="53" t="s">
        <v>54</v>
      </c>
      <c r="C355" s="53" t="s">
        <v>34</v>
      </c>
      <c r="D355" s="53" t="s">
        <v>282</v>
      </c>
      <c r="E355" s="53" t="s">
        <v>40</v>
      </c>
      <c r="F355" s="56">
        <f>3900000-36576.99+11500000</f>
        <v>15363423.01</v>
      </c>
      <c r="G355" s="56">
        <f>3900000-37285.52</f>
        <v>3862714.48</v>
      </c>
      <c r="H355" s="56">
        <f>3900000-35745.02</f>
        <v>3864254.98</v>
      </c>
    </row>
    <row r="356" spans="1:8" s="14" customFormat="1">
      <c r="A356" s="15" t="s">
        <v>283</v>
      </c>
      <c r="B356" s="16" t="s">
        <v>54</v>
      </c>
      <c r="C356" s="16" t="s">
        <v>34</v>
      </c>
      <c r="D356" s="16" t="s">
        <v>284</v>
      </c>
      <c r="E356" s="16" t="s">
        <v>20</v>
      </c>
      <c r="F356" s="19">
        <f t="shared" ref="F356:H357" si="79">F357</f>
        <v>5000000</v>
      </c>
      <c r="G356" s="19">
        <f t="shared" si="79"/>
        <v>5000000</v>
      </c>
      <c r="H356" s="19">
        <f t="shared" si="79"/>
        <v>5000000</v>
      </c>
    </row>
    <row r="357" spans="1:8" s="14" customFormat="1" ht="31.5">
      <c r="A357" s="15" t="s">
        <v>37</v>
      </c>
      <c r="B357" s="16" t="s">
        <v>54</v>
      </c>
      <c r="C357" s="16" t="s">
        <v>34</v>
      </c>
      <c r="D357" s="16" t="s">
        <v>284</v>
      </c>
      <c r="E357" s="16" t="s">
        <v>38</v>
      </c>
      <c r="F357" s="19">
        <f t="shared" si="79"/>
        <v>5000000</v>
      </c>
      <c r="G357" s="19">
        <f t="shared" si="79"/>
        <v>5000000</v>
      </c>
      <c r="H357" s="19">
        <f t="shared" si="79"/>
        <v>5000000</v>
      </c>
    </row>
    <row r="358" spans="1:8" s="14" customFormat="1" ht="31.5">
      <c r="A358" s="15" t="s">
        <v>39</v>
      </c>
      <c r="B358" s="16" t="s">
        <v>54</v>
      </c>
      <c r="C358" s="16" t="s">
        <v>34</v>
      </c>
      <c r="D358" s="16" t="s">
        <v>284</v>
      </c>
      <c r="E358" s="16" t="s">
        <v>40</v>
      </c>
      <c r="F358" s="19">
        <v>5000000</v>
      </c>
      <c r="G358" s="19">
        <v>5000000</v>
      </c>
      <c r="H358" s="19">
        <v>5000000</v>
      </c>
    </row>
    <row r="359" spans="1:8" outlineLevel="1">
      <c r="A359" s="15" t="s">
        <v>285</v>
      </c>
      <c r="B359" s="16" t="s">
        <v>54</v>
      </c>
      <c r="C359" s="16" t="s">
        <v>54</v>
      </c>
      <c r="D359" s="16" t="s">
        <v>19</v>
      </c>
      <c r="E359" s="16" t="s">
        <v>20</v>
      </c>
      <c r="F359" s="17">
        <f t="shared" ref="F359:H363" si="80">F360</f>
        <v>150.88999999999999</v>
      </c>
      <c r="G359" s="17">
        <f t="shared" si="80"/>
        <v>156.91999999999999</v>
      </c>
      <c r="H359" s="17">
        <f t="shared" si="80"/>
        <v>163.19999999999999</v>
      </c>
    </row>
    <row r="360" spans="1:8" ht="31.5" outlineLevel="2">
      <c r="A360" s="15" t="s">
        <v>23</v>
      </c>
      <c r="B360" s="16" t="s">
        <v>54</v>
      </c>
      <c r="C360" s="16" t="s">
        <v>54</v>
      </c>
      <c r="D360" s="16" t="s">
        <v>24</v>
      </c>
      <c r="E360" s="16" t="s">
        <v>20</v>
      </c>
      <c r="F360" s="17">
        <f t="shared" si="80"/>
        <v>150.88999999999999</v>
      </c>
      <c r="G360" s="17">
        <f t="shared" si="80"/>
        <v>156.91999999999999</v>
      </c>
      <c r="H360" s="17">
        <f t="shared" si="80"/>
        <v>163.19999999999999</v>
      </c>
    </row>
    <row r="361" spans="1:8" ht="31.5" outlineLevel="2">
      <c r="A361" s="15" t="s">
        <v>25</v>
      </c>
      <c r="B361" s="16" t="s">
        <v>54</v>
      </c>
      <c r="C361" s="16" t="s">
        <v>54</v>
      </c>
      <c r="D361" s="16" t="s">
        <v>26</v>
      </c>
      <c r="E361" s="16" t="s">
        <v>20</v>
      </c>
      <c r="F361" s="17">
        <f t="shared" si="80"/>
        <v>150.88999999999999</v>
      </c>
      <c r="G361" s="17">
        <f t="shared" si="80"/>
        <v>156.91999999999999</v>
      </c>
      <c r="H361" s="17">
        <f t="shared" si="80"/>
        <v>163.19999999999999</v>
      </c>
    </row>
    <row r="362" spans="1:8" ht="47.25" outlineLevel="5">
      <c r="A362" s="61" t="s">
        <v>286</v>
      </c>
      <c r="B362" s="53" t="s">
        <v>54</v>
      </c>
      <c r="C362" s="53" t="s">
        <v>54</v>
      </c>
      <c r="D362" s="53" t="s">
        <v>287</v>
      </c>
      <c r="E362" s="53" t="s">
        <v>20</v>
      </c>
      <c r="F362" s="56">
        <f t="shared" si="80"/>
        <v>150.88999999999999</v>
      </c>
      <c r="G362" s="56">
        <f t="shared" si="80"/>
        <v>156.91999999999999</v>
      </c>
      <c r="H362" s="56">
        <f t="shared" si="80"/>
        <v>163.19999999999999</v>
      </c>
    </row>
    <row r="363" spans="1:8" ht="31.5" outlineLevel="5">
      <c r="A363" s="52" t="s">
        <v>37</v>
      </c>
      <c r="B363" s="53" t="s">
        <v>54</v>
      </c>
      <c r="C363" s="53" t="s">
        <v>54</v>
      </c>
      <c r="D363" s="53" t="s">
        <v>287</v>
      </c>
      <c r="E363" s="53" t="s">
        <v>38</v>
      </c>
      <c r="F363" s="56">
        <f t="shared" si="80"/>
        <v>150.88999999999999</v>
      </c>
      <c r="G363" s="56">
        <f t="shared" si="80"/>
        <v>156.91999999999999</v>
      </c>
      <c r="H363" s="56">
        <f t="shared" si="80"/>
        <v>163.19999999999999</v>
      </c>
    </row>
    <row r="364" spans="1:8" ht="31.5" outlineLevel="5">
      <c r="A364" s="52" t="s">
        <v>39</v>
      </c>
      <c r="B364" s="53" t="s">
        <v>54</v>
      </c>
      <c r="C364" s="53" t="s">
        <v>54</v>
      </c>
      <c r="D364" s="53" t="s">
        <v>287</v>
      </c>
      <c r="E364" s="53" t="s">
        <v>40</v>
      </c>
      <c r="F364" s="56">
        <f>150.17+0.72</f>
        <v>150.88999999999999</v>
      </c>
      <c r="G364" s="56">
        <f>156.17+0.75</f>
        <v>156.91999999999999</v>
      </c>
      <c r="H364" s="56">
        <f>162.42+0.78</f>
        <v>163.19999999999999</v>
      </c>
    </row>
    <row r="365" spans="1:8" s="14" customFormat="1">
      <c r="A365" s="11" t="s">
        <v>288</v>
      </c>
      <c r="B365" s="12" t="s">
        <v>289</v>
      </c>
      <c r="C365" s="12" t="s">
        <v>18</v>
      </c>
      <c r="D365" s="12" t="s">
        <v>19</v>
      </c>
      <c r="E365" s="12" t="s">
        <v>20</v>
      </c>
      <c r="F365" s="13">
        <f>F366+F391+F445+F475+F502</f>
        <v>1189352839.72</v>
      </c>
      <c r="G365" s="13">
        <f>G366+G391+G445+G475+G502</f>
        <v>1232124248</v>
      </c>
      <c r="H365" s="13">
        <f>H366+H391+H445+H475+H502</f>
        <v>1276026998.6399999</v>
      </c>
    </row>
    <row r="366" spans="1:8">
      <c r="A366" s="15" t="s">
        <v>290</v>
      </c>
      <c r="B366" s="16" t="s">
        <v>289</v>
      </c>
      <c r="C366" s="16" t="s">
        <v>17</v>
      </c>
      <c r="D366" s="16" t="s">
        <v>19</v>
      </c>
      <c r="E366" s="16" t="s">
        <v>20</v>
      </c>
      <c r="F366" s="17">
        <f>F367+F381+F386</f>
        <v>259553490</v>
      </c>
      <c r="G366" s="17">
        <f>G367+G381+G386</f>
        <v>268728922</v>
      </c>
      <c r="H366" s="17">
        <f>H367+H381+H386</f>
        <v>279242191</v>
      </c>
    </row>
    <row r="367" spans="1:8" ht="31.5">
      <c r="A367" s="15" t="s">
        <v>291</v>
      </c>
      <c r="B367" s="16" t="s">
        <v>289</v>
      </c>
      <c r="C367" s="16" t="s">
        <v>17</v>
      </c>
      <c r="D367" s="16" t="s">
        <v>292</v>
      </c>
      <c r="E367" s="16" t="s">
        <v>20</v>
      </c>
      <c r="F367" s="17">
        <f>F368+F376</f>
        <v>259421490</v>
      </c>
      <c r="G367" s="17">
        <f>G368+G376</f>
        <v>268646922</v>
      </c>
      <c r="H367" s="17">
        <f>H368+H376</f>
        <v>279242191</v>
      </c>
    </row>
    <row r="368" spans="1:8">
      <c r="A368" s="15" t="s">
        <v>293</v>
      </c>
      <c r="B368" s="16" t="s">
        <v>289</v>
      </c>
      <c r="C368" s="16" t="s">
        <v>17</v>
      </c>
      <c r="D368" s="16" t="s">
        <v>294</v>
      </c>
      <c r="E368" s="16" t="s">
        <v>20</v>
      </c>
      <c r="F368" s="17">
        <f>F369+F373</f>
        <v>253889730</v>
      </c>
      <c r="G368" s="17">
        <f>G369+G373</f>
        <v>263115162</v>
      </c>
      <c r="H368" s="17">
        <f>H369+H373</f>
        <v>273710431</v>
      </c>
    </row>
    <row r="369" spans="1:8" ht="31.5">
      <c r="A369" s="15" t="s">
        <v>112</v>
      </c>
      <c r="B369" s="16" t="s">
        <v>289</v>
      </c>
      <c r="C369" s="16" t="s">
        <v>17</v>
      </c>
      <c r="D369" s="16" t="s">
        <v>295</v>
      </c>
      <c r="E369" s="16" t="s">
        <v>20</v>
      </c>
      <c r="F369" s="17">
        <f t="shared" ref="F369:H371" si="81">F370</f>
        <v>94512000</v>
      </c>
      <c r="G369" s="17">
        <f t="shared" si="81"/>
        <v>87011840</v>
      </c>
      <c r="H369" s="17">
        <f t="shared" si="81"/>
        <v>84611670</v>
      </c>
    </row>
    <row r="370" spans="1:8">
      <c r="A370" s="15" t="s">
        <v>296</v>
      </c>
      <c r="B370" s="16" t="s">
        <v>289</v>
      </c>
      <c r="C370" s="16" t="s">
        <v>17</v>
      </c>
      <c r="D370" s="16" t="s">
        <v>297</v>
      </c>
      <c r="E370" s="16" t="s">
        <v>20</v>
      </c>
      <c r="F370" s="17">
        <f t="shared" si="81"/>
        <v>94512000</v>
      </c>
      <c r="G370" s="17">
        <f t="shared" si="81"/>
        <v>87011840</v>
      </c>
      <c r="H370" s="17">
        <f t="shared" si="81"/>
        <v>84611670</v>
      </c>
    </row>
    <row r="371" spans="1:8" ht="31.5">
      <c r="A371" s="15" t="s">
        <v>298</v>
      </c>
      <c r="B371" s="16" t="s">
        <v>289</v>
      </c>
      <c r="C371" s="16" t="s">
        <v>17</v>
      </c>
      <c r="D371" s="16" t="s">
        <v>297</v>
      </c>
      <c r="E371" s="16" t="s">
        <v>299</v>
      </c>
      <c r="F371" s="17">
        <f t="shared" si="81"/>
        <v>94512000</v>
      </c>
      <c r="G371" s="17">
        <f t="shared" si="81"/>
        <v>87011840</v>
      </c>
      <c r="H371" s="17">
        <f t="shared" si="81"/>
        <v>84611670</v>
      </c>
    </row>
    <row r="372" spans="1:8">
      <c r="A372" s="15" t="s">
        <v>300</v>
      </c>
      <c r="B372" s="16" t="s">
        <v>289</v>
      </c>
      <c r="C372" s="16" t="s">
        <v>17</v>
      </c>
      <c r="D372" s="16" t="s">
        <v>297</v>
      </c>
      <c r="E372" s="16" t="s">
        <v>301</v>
      </c>
      <c r="F372" s="17">
        <v>94512000</v>
      </c>
      <c r="G372" s="17">
        <f>97011840-10000000</f>
        <v>87011840</v>
      </c>
      <c r="H372" s="17">
        <f>99611670-15000000</f>
        <v>84611670</v>
      </c>
    </row>
    <row r="373" spans="1:8" ht="63">
      <c r="A373" s="52" t="s">
        <v>302</v>
      </c>
      <c r="B373" s="53" t="s">
        <v>289</v>
      </c>
      <c r="C373" s="53" t="s">
        <v>17</v>
      </c>
      <c r="D373" s="53" t="s">
        <v>303</v>
      </c>
      <c r="E373" s="53" t="s">
        <v>20</v>
      </c>
      <c r="F373" s="56">
        <f t="shared" ref="F373:H374" si="82">F374</f>
        <v>159377730</v>
      </c>
      <c r="G373" s="56">
        <f t="shared" si="82"/>
        <v>176103322</v>
      </c>
      <c r="H373" s="56">
        <f t="shared" si="82"/>
        <v>189098761</v>
      </c>
    </row>
    <row r="374" spans="1:8" ht="31.5">
      <c r="A374" s="52" t="s">
        <v>298</v>
      </c>
      <c r="B374" s="53" t="s">
        <v>289</v>
      </c>
      <c r="C374" s="53" t="s">
        <v>17</v>
      </c>
      <c r="D374" s="53" t="s">
        <v>303</v>
      </c>
      <c r="E374" s="53" t="s">
        <v>299</v>
      </c>
      <c r="F374" s="56">
        <f t="shared" si="82"/>
        <v>159377730</v>
      </c>
      <c r="G374" s="56">
        <f t="shared" si="82"/>
        <v>176103322</v>
      </c>
      <c r="H374" s="56">
        <f t="shared" si="82"/>
        <v>189098761</v>
      </c>
    </row>
    <row r="375" spans="1:8">
      <c r="A375" s="52" t="s">
        <v>300</v>
      </c>
      <c r="B375" s="53" t="s">
        <v>289</v>
      </c>
      <c r="C375" s="53" t="s">
        <v>17</v>
      </c>
      <c r="D375" s="53" t="s">
        <v>303</v>
      </c>
      <c r="E375" s="53" t="s">
        <v>301</v>
      </c>
      <c r="F375" s="56">
        <f>167905069-8527339</f>
        <v>159377730</v>
      </c>
      <c r="G375" s="56">
        <f>189605745-13502423</f>
        <v>176103322</v>
      </c>
      <c r="H375" s="56">
        <f>206823653-17724892</f>
        <v>189098761</v>
      </c>
    </row>
    <row r="376" spans="1:8" ht="47.25">
      <c r="A376" s="15" t="s">
        <v>304</v>
      </c>
      <c r="B376" s="16" t="s">
        <v>289</v>
      </c>
      <c r="C376" s="16" t="s">
        <v>17</v>
      </c>
      <c r="D376" s="16" t="s">
        <v>305</v>
      </c>
      <c r="E376" s="16" t="s">
        <v>20</v>
      </c>
      <c r="F376" s="17">
        <f t="shared" ref="F376:H377" si="83">F377</f>
        <v>5531760</v>
      </c>
      <c r="G376" s="17">
        <f t="shared" si="83"/>
        <v>5531760</v>
      </c>
      <c r="H376" s="17">
        <f t="shared" si="83"/>
        <v>5531760</v>
      </c>
    </row>
    <row r="377" spans="1:8" ht="31.5">
      <c r="A377" s="15" t="s">
        <v>306</v>
      </c>
      <c r="B377" s="16" t="s">
        <v>289</v>
      </c>
      <c r="C377" s="16" t="s">
        <v>17</v>
      </c>
      <c r="D377" s="16" t="s">
        <v>307</v>
      </c>
      <c r="E377" s="16" t="s">
        <v>20</v>
      </c>
      <c r="F377" s="17">
        <f t="shared" si="83"/>
        <v>5531760</v>
      </c>
      <c r="G377" s="17">
        <f t="shared" si="83"/>
        <v>5531760</v>
      </c>
      <c r="H377" s="17">
        <f t="shared" si="83"/>
        <v>5531760</v>
      </c>
    </row>
    <row r="378" spans="1:8" ht="31.5">
      <c r="A378" s="15" t="s">
        <v>308</v>
      </c>
      <c r="B378" s="16" t="s">
        <v>289</v>
      </c>
      <c r="C378" s="16" t="s">
        <v>17</v>
      </c>
      <c r="D378" s="16" t="s">
        <v>309</v>
      </c>
      <c r="E378" s="16" t="s">
        <v>20</v>
      </c>
      <c r="F378" s="17">
        <f>F380</f>
        <v>5531760</v>
      </c>
      <c r="G378" s="17">
        <f>G380</f>
        <v>5531760</v>
      </c>
      <c r="H378" s="17">
        <f>H380</f>
        <v>5531760</v>
      </c>
    </row>
    <row r="379" spans="1:8" ht="31.5">
      <c r="A379" s="15" t="s">
        <v>298</v>
      </c>
      <c r="B379" s="16" t="s">
        <v>289</v>
      </c>
      <c r="C379" s="16" t="s">
        <v>17</v>
      </c>
      <c r="D379" s="16" t="s">
        <v>309</v>
      </c>
      <c r="E379" s="16" t="s">
        <v>299</v>
      </c>
      <c r="F379" s="17">
        <f>F380</f>
        <v>5531760</v>
      </c>
      <c r="G379" s="17">
        <f>G380</f>
        <v>5531760</v>
      </c>
      <c r="H379" s="17">
        <f>H380</f>
        <v>5531760</v>
      </c>
    </row>
    <row r="380" spans="1:8">
      <c r="A380" s="15" t="s">
        <v>300</v>
      </c>
      <c r="B380" s="16" t="s">
        <v>289</v>
      </c>
      <c r="C380" s="16" t="s">
        <v>17</v>
      </c>
      <c r="D380" s="16" t="s">
        <v>309</v>
      </c>
      <c r="E380" s="16" t="s">
        <v>301</v>
      </c>
      <c r="F380" s="17">
        <v>5531760</v>
      </c>
      <c r="G380" s="17">
        <v>5531760</v>
      </c>
      <c r="H380" s="17">
        <v>5531760</v>
      </c>
    </row>
    <row r="381" spans="1:8" ht="47.25">
      <c r="A381" s="15" t="s">
        <v>122</v>
      </c>
      <c r="B381" s="16" t="s">
        <v>289</v>
      </c>
      <c r="C381" s="16" t="s">
        <v>17</v>
      </c>
      <c r="D381" s="16" t="s">
        <v>123</v>
      </c>
      <c r="E381" s="16" t="s">
        <v>20</v>
      </c>
      <c r="F381" s="17">
        <f t="shared" ref="F381:H384" si="84">F382</f>
        <v>82000</v>
      </c>
      <c r="G381" s="17">
        <f t="shared" si="84"/>
        <v>82000</v>
      </c>
      <c r="H381" s="17">
        <f t="shared" si="84"/>
        <v>0</v>
      </c>
    </row>
    <row r="382" spans="1:8" ht="47.25">
      <c r="A382" s="15" t="s">
        <v>124</v>
      </c>
      <c r="B382" s="16" t="s">
        <v>289</v>
      </c>
      <c r="C382" s="16" t="s">
        <v>17</v>
      </c>
      <c r="D382" s="16" t="s">
        <v>125</v>
      </c>
      <c r="E382" s="16" t="s">
        <v>20</v>
      </c>
      <c r="F382" s="17">
        <f t="shared" si="84"/>
        <v>82000</v>
      </c>
      <c r="G382" s="17">
        <f t="shared" si="84"/>
        <v>82000</v>
      </c>
      <c r="H382" s="17">
        <f t="shared" si="84"/>
        <v>0</v>
      </c>
    </row>
    <row r="383" spans="1:8" ht="31.5">
      <c r="A383" s="15" t="s">
        <v>126</v>
      </c>
      <c r="B383" s="16" t="s">
        <v>289</v>
      </c>
      <c r="C383" s="16" t="s">
        <v>17</v>
      </c>
      <c r="D383" s="16" t="s">
        <v>127</v>
      </c>
      <c r="E383" s="16" t="s">
        <v>20</v>
      </c>
      <c r="F383" s="17">
        <f t="shared" si="84"/>
        <v>82000</v>
      </c>
      <c r="G383" s="17">
        <f t="shared" si="84"/>
        <v>82000</v>
      </c>
      <c r="H383" s="17">
        <f t="shared" si="84"/>
        <v>0</v>
      </c>
    </row>
    <row r="384" spans="1:8" ht="31.5">
      <c r="A384" s="15" t="s">
        <v>298</v>
      </c>
      <c r="B384" s="16" t="s">
        <v>289</v>
      </c>
      <c r="C384" s="16" t="s">
        <v>17</v>
      </c>
      <c r="D384" s="16" t="s">
        <v>127</v>
      </c>
      <c r="E384" s="16" t="s">
        <v>299</v>
      </c>
      <c r="F384" s="17">
        <f t="shared" si="84"/>
        <v>82000</v>
      </c>
      <c r="G384" s="17">
        <f t="shared" si="84"/>
        <v>82000</v>
      </c>
      <c r="H384" s="17">
        <f t="shared" si="84"/>
        <v>0</v>
      </c>
    </row>
    <row r="385" spans="1:8">
      <c r="A385" s="15" t="s">
        <v>300</v>
      </c>
      <c r="B385" s="16" t="s">
        <v>289</v>
      </c>
      <c r="C385" s="16" t="s">
        <v>17</v>
      </c>
      <c r="D385" s="16" t="s">
        <v>127</v>
      </c>
      <c r="E385" s="16" t="s">
        <v>301</v>
      </c>
      <c r="F385" s="17">
        <v>82000</v>
      </c>
      <c r="G385" s="17">
        <v>82000</v>
      </c>
      <c r="H385" s="17">
        <v>0</v>
      </c>
    </row>
    <row r="386" spans="1:8" ht="47.25">
      <c r="A386" s="15" t="s">
        <v>310</v>
      </c>
      <c r="B386" s="16" t="s">
        <v>289</v>
      </c>
      <c r="C386" s="16" t="s">
        <v>17</v>
      </c>
      <c r="D386" s="16" t="s">
        <v>311</v>
      </c>
      <c r="E386" s="16" t="s">
        <v>20</v>
      </c>
      <c r="F386" s="17">
        <f t="shared" ref="F386:H389" si="85">F387</f>
        <v>50000</v>
      </c>
      <c r="G386" s="17">
        <f t="shared" si="85"/>
        <v>0</v>
      </c>
      <c r="H386" s="17">
        <f t="shared" si="85"/>
        <v>0</v>
      </c>
    </row>
    <row r="387" spans="1:8" ht="47.25">
      <c r="A387" s="15" t="s">
        <v>312</v>
      </c>
      <c r="B387" s="16" t="s">
        <v>289</v>
      </c>
      <c r="C387" s="16" t="s">
        <v>17</v>
      </c>
      <c r="D387" s="16" t="s">
        <v>313</v>
      </c>
      <c r="E387" s="16" t="s">
        <v>20</v>
      </c>
      <c r="F387" s="17">
        <f t="shared" si="85"/>
        <v>50000</v>
      </c>
      <c r="G387" s="17">
        <f t="shared" si="85"/>
        <v>0</v>
      </c>
      <c r="H387" s="17">
        <f t="shared" si="85"/>
        <v>0</v>
      </c>
    </row>
    <row r="388" spans="1:8">
      <c r="A388" s="15" t="s">
        <v>314</v>
      </c>
      <c r="B388" s="16" t="s">
        <v>289</v>
      </c>
      <c r="C388" s="16" t="s">
        <v>17</v>
      </c>
      <c r="D388" s="16" t="s">
        <v>315</v>
      </c>
      <c r="E388" s="16" t="s">
        <v>20</v>
      </c>
      <c r="F388" s="17">
        <f t="shared" si="85"/>
        <v>50000</v>
      </c>
      <c r="G388" s="17">
        <f t="shared" si="85"/>
        <v>0</v>
      </c>
      <c r="H388" s="17">
        <f t="shared" si="85"/>
        <v>0</v>
      </c>
    </row>
    <row r="389" spans="1:8" ht="31.5">
      <c r="A389" s="15" t="s">
        <v>298</v>
      </c>
      <c r="B389" s="16" t="s">
        <v>289</v>
      </c>
      <c r="C389" s="16" t="s">
        <v>17</v>
      </c>
      <c r="D389" s="16" t="s">
        <v>315</v>
      </c>
      <c r="E389" s="16" t="s">
        <v>299</v>
      </c>
      <c r="F389" s="17">
        <f t="shared" si="85"/>
        <v>50000</v>
      </c>
      <c r="G389" s="17">
        <f t="shared" si="85"/>
        <v>0</v>
      </c>
      <c r="H389" s="17">
        <f t="shared" si="85"/>
        <v>0</v>
      </c>
    </row>
    <row r="390" spans="1:8">
      <c r="A390" s="15" t="s">
        <v>300</v>
      </c>
      <c r="B390" s="16" t="s">
        <v>289</v>
      </c>
      <c r="C390" s="16" t="s">
        <v>17</v>
      </c>
      <c r="D390" s="16" t="s">
        <v>315</v>
      </c>
      <c r="E390" s="16" t="s">
        <v>301</v>
      </c>
      <c r="F390" s="17">
        <v>50000</v>
      </c>
      <c r="G390" s="17">
        <v>0</v>
      </c>
      <c r="H390" s="17">
        <v>0</v>
      </c>
    </row>
    <row r="391" spans="1:8" outlineLevel="1">
      <c r="A391" s="15" t="s">
        <v>316</v>
      </c>
      <c r="B391" s="16" t="s">
        <v>289</v>
      </c>
      <c r="C391" s="16" t="s">
        <v>22</v>
      </c>
      <c r="D391" s="16" t="s">
        <v>19</v>
      </c>
      <c r="E391" s="16" t="s">
        <v>20</v>
      </c>
      <c r="F391" s="17">
        <f>F392+F435+F440</f>
        <v>794593121.31999993</v>
      </c>
      <c r="G391" s="17">
        <f>G392+G435+G440</f>
        <v>830340210</v>
      </c>
      <c r="H391" s="17">
        <f>H392+H435+H440</f>
        <v>856988623.63999999</v>
      </c>
    </row>
    <row r="392" spans="1:8" ht="31.5" outlineLevel="1">
      <c r="A392" s="15" t="s">
        <v>291</v>
      </c>
      <c r="B392" s="16" t="s">
        <v>289</v>
      </c>
      <c r="C392" s="16" t="s">
        <v>22</v>
      </c>
      <c r="D392" s="16" t="s">
        <v>292</v>
      </c>
      <c r="E392" s="16" t="s">
        <v>20</v>
      </c>
      <c r="F392" s="17">
        <f>F393+F430</f>
        <v>794435821.31999993</v>
      </c>
      <c r="G392" s="17">
        <f>G393+G430</f>
        <v>830237510</v>
      </c>
      <c r="H392" s="17">
        <f>H393+H430</f>
        <v>856988623.63999999</v>
      </c>
    </row>
    <row r="393" spans="1:8" outlineLevel="1">
      <c r="A393" s="45" t="s">
        <v>317</v>
      </c>
      <c r="B393" s="16" t="s">
        <v>289</v>
      </c>
      <c r="C393" s="16" t="s">
        <v>22</v>
      </c>
      <c r="D393" s="16" t="s">
        <v>318</v>
      </c>
      <c r="E393" s="16" t="s">
        <v>20</v>
      </c>
      <c r="F393" s="17">
        <f>F394+F398+F401+F404+F407+F412+F415+F418+F421+F424+F427</f>
        <v>792074861.31999993</v>
      </c>
      <c r="G393" s="17">
        <f t="shared" ref="G393:H393" si="86">G394+G398+G401+G404+G407+G412+G415+G418+G421+G424+G427</f>
        <v>827876550</v>
      </c>
      <c r="H393" s="17">
        <f t="shared" si="86"/>
        <v>854627663.63999999</v>
      </c>
    </row>
    <row r="394" spans="1:8" ht="31.5" outlineLevel="1">
      <c r="A394" s="15" t="s">
        <v>112</v>
      </c>
      <c r="B394" s="16" t="s">
        <v>289</v>
      </c>
      <c r="C394" s="16" t="s">
        <v>22</v>
      </c>
      <c r="D394" s="16" t="s">
        <v>319</v>
      </c>
      <c r="E394" s="16" t="s">
        <v>20</v>
      </c>
      <c r="F394" s="17">
        <f t="shared" ref="F394:H396" si="87">F395</f>
        <v>179725282.41999999</v>
      </c>
      <c r="G394" s="17">
        <f t="shared" si="87"/>
        <v>168745125</v>
      </c>
      <c r="H394" s="17">
        <f t="shared" si="87"/>
        <v>152222103</v>
      </c>
    </row>
    <row r="395" spans="1:8" ht="31.5" outlineLevel="2">
      <c r="A395" s="52" t="s">
        <v>320</v>
      </c>
      <c r="B395" s="53" t="s">
        <v>289</v>
      </c>
      <c r="C395" s="53" t="s">
        <v>22</v>
      </c>
      <c r="D395" s="53" t="s">
        <v>321</v>
      </c>
      <c r="E395" s="53" t="s">
        <v>20</v>
      </c>
      <c r="F395" s="56">
        <f t="shared" si="87"/>
        <v>179725282.41999999</v>
      </c>
      <c r="G395" s="17">
        <f t="shared" si="87"/>
        <v>168745125</v>
      </c>
      <c r="H395" s="17">
        <f t="shared" si="87"/>
        <v>152222103</v>
      </c>
    </row>
    <row r="396" spans="1:8" ht="31.5" outlineLevel="5">
      <c r="A396" s="52" t="s">
        <v>298</v>
      </c>
      <c r="B396" s="53" t="s">
        <v>289</v>
      </c>
      <c r="C396" s="53" t="s">
        <v>22</v>
      </c>
      <c r="D396" s="53" t="s">
        <v>321</v>
      </c>
      <c r="E396" s="53" t="s">
        <v>299</v>
      </c>
      <c r="F396" s="56">
        <f t="shared" si="87"/>
        <v>179725282.41999999</v>
      </c>
      <c r="G396" s="17">
        <f t="shared" si="87"/>
        <v>168745125</v>
      </c>
      <c r="H396" s="17">
        <f t="shared" si="87"/>
        <v>152222103</v>
      </c>
    </row>
    <row r="397" spans="1:8" outlineLevel="5">
      <c r="A397" s="52" t="s">
        <v>300</v>
      </c>
      <c r="B397" s="53" t="s">
        <v>289</v>
      </c>
      <c r="C397" s="53" t="s">
        <v>22</v>
      </c>
      <c r="D397" s="53" t="s">
        <v>321</v>
      </c>
      <c r="E397" s="53" t="s">
        <v>301</v>
      </c>
      <c r="F397" s="56">
        <f>175256200+2994600-75757.58+1550240</f>
        <v>179725282.41999999</v>
      </c>
      <c r="G397" s="17">
        <f>180092730+2994600-14342205</f>
        <v>168745125</v>
      </c>
      <c r="H397" s="17">
        <f>183994080+2994600-34766577</f>
        <v>152222103</v>
      </c>
    </row>
    <row r="398" spans="1:8" outlineLevel="5">
      <c r="A398" s="115" t="s">
        <v>490</v>
      </c>
      <c r="B398" s="53" t="s">
        <v>289</v>
      </c>
      <c r="C398" s="53" t="s">
        <v>22</v>
      </c>
      <c r="D398" s="116" t="s">
        <v>489</v>
      </c>
      <c r="E398" s="116" t="s">
        <v>20</v>
      </c>
      <c r="F398" s="117">
        <f t="shared" ref="F398:H399" si="88">F399</f>
        <v>223482.04</v>
      </c>
      <c r="G398" s="114">
        <f t="shared" si="88"/>
        <v>0</v>
      </c>
      <c r="H398" s="114">
        <f t="shared" si="88"/>
        <v>0</v>
      </c>
    </row>
    <row r="399" spans="1:8" ht="31.5" outlineLevel="5">
      <c r="A399" s="118" t="s">
        <v>298</v>
      </c>
      <c r="B399" s="53" t="s">
        <v>289</v>
      </c>
      <c r="C399" s="53" t="s">
        <v>22</v>
      </c>
      <c r="D399" s="116" t="s">
        <v>489</v>
      </c>
      <c r="E399" s="116" t="s">
        <v>299</v>
      </c>
      <c r="F399" s="117">
        <f t="shared" si="88"/>
        <v>223482.04</v>
      </c>
      <c r="G399" s="114">
        <f t="shared" si="88"/>
        <v>0</v>
      </c>
      <c r="H399" s="114">
        <f t="shared" si="88"/>
        <v>0</v>
      </c>
    </row>
    <row r="400" spans="1:8" outlineLevel="5">
      <c r="A400" s="118" t="s">
        <v>300</v>
      </c>
      <c r="B400" s="53" t="s">
        <v>289</v>
      </c>
      <c r="C400" s="53" t="s">
        <v>22</v>
      </c>
      <c r="D400" s="116" t="s">
        <v>489</v>
      </c>
      <c r="E400" s="116" t="s">
        <v>301</v>
      </c>
      <c r="F400" s="117">
        <v>223482.04</v>
      </c>
      <c r="G400" s="114">
        <v>0</v>
      </c>
      <c r="H400" s="114">
        <v>0</v>
      </c>
    </row>
    <row r="401" spans="1:8" ht="78.75" outlineLevel="5">
      <c r="A401" s="52" t="s">
        <v>324</v>
      </c>
      <c r="B401" s="53" t="s">
        <v>289</v>
      </c>
      <c r="C401" s="53" t="s">
        <v>22</v>
      </c>
      <c r="D401" s="53" t="s">
        <v>325</v>
      </c>
      <c r="E401" s="53" t="s">
        <v>20</v>
      </c>
      <c r="F401" s="56">
        <f t="shared" ref="F401:H402" si="89">F402</f>
        <v>522154846</v>
      </c>
      <c r="G401" s="56">
        <f t="shared" si="89"/>
        <v>578596421</v>
      </c>
      <c r="H401" s="56">
        <f t="shared" si="89"/>
        <v>622260140</v>
      </c>
    </row>
    <row r="402" spans="1:8" ht="31.5" outlineLevel="5">
      <c r="A402" s="52" t="s">
        <v>298</v>
      </c>
      <c r="B402" s="53" t="s">
        <v>289</v>
      </c>
      <c r="C402" s="53" t="s">
        <v>22</v>
      </c>
      <c r="D402" s="53" t="s">
        <v>325</v>
      </c>
      <c r="E402" s="53" t="s">
        <v>299</v>
      </c>
      <c r="F402" s="56">
        <f t="shared" si="89"/>
        <v>522154846</v>
      </c>
      <c r="G402" s="56">
        <f t="shared" si="89"/>
        <v>578596421</v>
      </c>
      <c r="H402" s="56">
        <f t="shared" si="89"/>
        <v>622260140</v>
      </c>
    </row>
    <row r="403" spans="1:8" outlineLevel="5">
      <c r="A403" s="52" t="s">
        <v>300</v>
      </c>
      <c r="B403" s="53" t="s">
        <v>289</v>
      </c>
      <c r="C403" s="53" t="s">
        <v>22</v>
      </c>
      <c r="D403" s="53" t="s">
        <v>325</v>
      </c>
      <c r="E403" s="53" t="s">
        <v>301</v>
      </c>
      <c r="F403" s="56">
        <f>543041075-20886229</f>
        <v>522154846</v>
      </c>
      <c r="G403" s="56">
        <f>615332313-36735892</f>
        <v>578596421</v>
      </c>
      <c r="H403" s="56">
        <f>672468140-50208000</f>
        <v>622260140</v>
      </c>
    </row>
    <row r="404" spans="1:8" ht="47.25" outlineLevel="5">
      <c r="A404" s="52" t="s">
        <v>326</v>
      </c>
      <c r="B404" s="53" t="s">
        <v>289</v>
      </c>
      <c r="C404" s="53" t="s">
        <v>22</v>
      </c>
      <c r="D404" s="53" t="s">
        <v>327</v>
      </c>
      <c r="E404" s="53" t="s">
        <v>20</v>
      </c>
      <c r="F404" s="56">
        <f t="shared" ref="F404:H405" si="90">F405</f>
        <v>22545400</v>
      </c>
      <c r="G404" s="56">
        <f t="shared" si="90"/>
        <v>20639700</v>
      </c>
      <c r="H404" s="56">
        <f t="shared" si="90"/>
        <v>19961400</v>
      </c>
    </row>
    <row r="405" spans="1:8" ht="31.5" outlineLevel="5">
      <c r="A405" s="74" t="s">
        <v>298</v>
      </c>
      <c r="B405" s="75" t="s">
        <v>289</v>
      </c>
      <c r="C405" s="75" t="s">
        <v>22</v>
      </c>
      <c r="D405" s="75" t="s">
        <v>327</v>
      </c>
      <c r="E405" s="75" t="s">
        <v>299</v>
      </c>
      <c r="F405" s="59">
        <f t="shared" si="90"/>
        <v>22545400</v>
      </c>
      <c r="G405" s="59">
        <f t="shared" si="90"/>
        <v>20639700</v>
      </c>
      <c r="H405" s="59">
        <f t="shared" si="90"/>
        <v>19961400</v>
      </c>
    </row>
    <row r="406" spans="1:8" outlineLevel="5">
      <c r="A406" s="74" t="s">
        <v>300</v>
      </c>
      <c r="B406" s="75" t="s">
        <v>289</v>
      </c>
      <c r="C406" s="75" t="s">
        <v>22</v>
      </c>
      <c r="D406" s="75" t="s">
        <v>327</v>
      </c>
      <c r="E406" s="75" t="s">
        <v>301</v>
      </c>
      <c r="F406" s="59">
        <f>21414900+1130500</f>
        <v>22545400</v>
      </c>
      <c r="G406" s="59">
        <f>21414900-775200</f>
        <v>20639700</v>
      </c>
      <c r="H406" s="59">
        <f>21414900-1453500</f>
        <v>19961400</v>
      </c>
    </row>
    <row r="407" spans="1:8" ht="31.5" outlineLevel="5">
      <c r="A407" s="71" t="s">
        <v>328</v>
      </c>
      <c r="B407" s="72" t="s">
        <v>289</v>
      </c>
      <c r="C407" s="72" t="s">
        <v>22</v>
      </c>
      <c r="D407" s="72" t="s">
        <v>329</v>
      </c>
      <c r="E407" s="72" t="s">
        <v>20</v>
      </c>
      <c r="F407" s="73">
        <f>F408+F410</f>
        <v>12993100</v>
      </c>
      <c r="G407" s="73">
        <f>G408+G410</f>
        <v>12993100</v>
      </c>
      <c r="H407" s="73">
        <f>H408+H410</f>
        <v>12993100</v>
      </c>
    </row>
    <row r="408" spans="1:8" outlineLevel="5">
      <c r="A408" s="71" t="s">
        <v>41</v>
      </c>
      <c r="B408" s="72" t="s">
        <v>289</v>
      </c>
      <c r="C408" s="72" t="s">
        <v>22</v>
      </c>
      <c r="D408" s="72" t="s">
        <v>329</v>
      </c>
      <c r="E408" s="72" t="s">
        <v>42</v>
      </c>
      <c r="F408" s="73">
        <f>F409</f>
        <v>108800</v>
      </c>
      <c r="G408" s="73">
        <f>G409</f>
        <v>108800</v>
      </c>
      <c r="H408" s="73">
        <f>H409</f>
        <v>108800</v>
      </c>
    </row>
    <row r="409" spans="1:8" ht="31.5" outlineLevel="5">
      <c r="A409" s="71" t="s">
        <v>330</v>
      </c>
      <c r="B409" s="72" t="s">
        <v>289</v>
      </c>
      <c r="C409" s="72" t="s">
        <v>22</v>
      </c>
      <c r="D409" s="72" t="s">
        <v>329</v>
      </c>
      <c r="E409" s="72" t="s">
        <v>331</v>
      </c>
      <c r="F409" s="73">
        <v>108800</v>
      </c>
      <c r="G409" s="73">
        <v>108800</v>
      </c>
      <c r="H409" s="73">
        <v>108800</v>
      </c>
    </row>
    <row r="410" spans="1:8" ht="31.5" outlineLevel="5">
      <c r="A410" s="71" t="s">
        <v>298</v>
      </c>
      <c r="B410" s="72" t="s">
        <v>289</v>
      </c>
      <c r="C410" s="72" t="s">
        <v>22</v>
      </c>
      <c r="D410" s="72" t="s">
        <v>329</v>
      </c>
      <c r="E410" s="72" t="s">
        <v>299</v>
      </c>
      <c r="F410" s="73">
        <f>F411</f>
        <v>12884300</v>
      </c>
      <c r="G410" s="73">
        <f>G411</f>
        <v>12884300</v>
      </c>
      <c r="H410" s="73">
        <f>H411</f>
        <v>12884300</v>
      </c>
    </row>
    <row r="411" spans="1:8" outlineLevel="5">
      <c r="A411" s="71" t="s">
        <v>300</v>
      </c>
      <c r="B411" s="72" t="s">
        <v>289</v>
      </c>
      <c r="C411" s="72" t="s">
        <v>22</v>
      </c>
      <c r="D411" s="72" t="s">
        <v>329</v>
      </c>
      <c r="E411" s="72" t="s">
        <v>301</v>
      </c>
      <c r="F411" s="73">
        <v>12884300</v>
      </c>
      <c r="G411" s="73">
        <v>12884300</v>
      </c>
      <c r="H411" s="73">
        <v>12884300</v>
      </c>
    </row>
    <row r="412" spans="1:8" ht="31.5" outlineLevel="5">
      <c r="A412" s="81" t="s">
        <v>476</v>
      </c>
      <c r="B412" s="75" t="s">
        <v>289</v>
      </c>
      <c r="C412" s="75" t="s">
        <v>22</v>
      </c>
      <c r="D412" s="75" t="s">
        <v>477</v>
      </c>
      <c r="E412" s="78" t="s">
        <v>20</v>
      </c>
      <c r="F412" s="59">
        <f>F413</f>
        <v>3030303.03</v>
      </c>
      <c r="G412" s="59">
        <f t="shared" ref="G412:H413" si="91">G413</f>
        <v>0</v>
      </c>
      <c r="H412" s="59">
        <f t="shared" si="91"/>
        <v>0</v>
      </c>
    </row>
    <row r="413" spans="1:8" ht="31.5" outlineLevel="5">
      <c r="A413" s="74" t="s">
        <v>298</v>
      </c>
      <c r="B413" s="75" t="s">
        <v>289</v>
      </c>
      <c r="C413" s="75" t="s">
        <v>22</v>
      </c>
      <c r="D413" s="75" t="s">
        <v>477</v>
      </c>
      <c r="E413" s="77" t="s">
        <v>299</v>
      </c>
      <c r="F413" s="59">
        <f>F414</f>
        <v>3030303.03</v>
      </c>
      <c r="G413" s="59">
        <f t="shared" si="91"/>
        <v>0</v>
      </c>
      <c r="H413" s="59">
        <f t="shared" si="91"/>
        <v>0</v>
      </c>
    </row>
    <row r="414" spans="1:8" outlineLevel="5">
      <c r="A414" s="74" t="s">
        <v>300</v>
      </c>
      <c r="B414" s="75" t="s">
        <v>289</v>
      </c>
      <c r="C414" s="75" t="s">
        <v>22</v>
      </c>
      <c r="D414" s="75" t="s">
        <v>477</v>
      </c>
      <c r="E414" s="77" t="s">
        <v>301</v>
      </c>
      <c r="F414" s="59">
        <f>3000000+30303.03</f>
        <v>3030303.03</v>
      </c>
      <c r="G414" s="59">
        <v>0</v>
      </c>
      <c r="H414" s="59">
        <v>0</v>
      </c>
    </row>
    <row r="415" spans="1:8" ht="31.5" outlineLevel="5">
      <c r="A415" s="81" t="s">
        <v>476</v>
      </c>
      <c r="B415" s="75" t="s">
        <v>289</v>
      </c>
      <c r="C415" s="75" t="s">
        <v>22</v>
      </c>
      <c r="D415" s="75" t="s">
        <v>478</v>
      </c>
      <c r="E415" s="78" t="s">
        <v>20</v>
      </c>
      <c r="F415" s="59">
        <f>F416</f>
        <v>3030303.03</v>
      </c>
      <c r="G415" s="59">
        <f t="shared" ref="G415:H415" si="92">G416</f>
        <v>0</v>
      </c>
      <c r="H415" s="59">
        <f t="shared" si="92"/>
        <v>0</v>
      </c>
    </row>
    <row r="416" spans="1:8" ht="31.5" outlineLevel="5">
      <c r="A416" s="74" t="s">
        <v>298</v>
      </c>
      <c r="B416" s="75" t="s">
        <v>289</v>
      </c>
      <c r="C416" s="75" t="s">
        <v>22</v>
      </c>
      <c r="D416" s="75" t="s">
        <v>478</v>
      </c>
      <c r="E416" s="77" t="s">
        <v>299</v>
      </c>
      <c r="F416" s="59">
        <f>F417</f>
        <v>3030303.03</v>
      </c>
      <c r="G416" s="59">
        <f>G417</f>
        <v>0</v>
      </c>
      <c r="H416" s="59">
        <f>H417</f>
        <v>0</v>
      </c>
    </row>
    <row r="417" spans="1:8" outlineLevel="5">
      <c r="A417" s="74" t="s">
        <v>300</v>
      </c>
      <c r="B417" s="75" t="s">
        <v>289</v>
      </c>
      <c r="C417" s="75" t="s">
        <v>22</v>
      </c>
      <c r="D417" s="75" t="s">
        <v>478</v>
      </c>
      <c r="E417" s="77" t="s">
        <v>301</v>
      </c>
      <c r="F417" s="59">
        <f>3000000+30303.03</f>
        <v>3030303.03</v>
      </c>
      <c r="G417" s="59">
        <v>0</v>
      </c>
      <c r="H417" s="59">
        <v>0</v>
      </c>
    </row>
    <row r="418" spans="1:8" ht="31.5" outlineLevel="5">
      <c r="A418" s="82" t="s">
        <v>479</v>
      </c>
      <c r="B418" s="75" t="s">
        <v>289</v>
      </c>
      <c r="C418" s="75" t="s">
        <v>22</v>
      </c>
      <c r="D418" s="75" t="s">
        <v>480</v>
      </c>
      <c r="E418" s="78" t="s">
        <v>20</v>
      </c>
      <c r="F418" s="59">
        <f>F419</f>
        <v>1515151.52</v>
      </c>
      <c r="G418" s="59">
        <f t="shared" ref="G418:H419" si="93">G419</f>
        <v>0</v>
      </c>
      <c r="H418" s="59">
        <f t="shared" si="93"/>
        <v>0</v>
      </c>
    </row>
    <row r="419" spans="1:8" ht="31.5" outlineLevel="5">
      <c r="A419" s="74" t="s">
        <v>298</v>
      </c>
      <c r="B419" s="75" t="s">
        <v>289</v>
      </c>
      <c r="C419" s="75" t="s">
        <v>22</v>
      </c>
      <c r="D419" s="75" t="s">
        <v>480</v>
      </c>
      <c r="E419" s="77" t="s">
        <v>299</v>
      </c>
      <c r="F419" s="59">
        <f>F420</f>
        <v>1515151.52</v>
      </c>
      <c r="G419" s="59">
        <f t="shared" si="93"/>
        <v>0</v>
      </c>
      <c r="H419" s="59">
        <f t="shared" si="93"/>
        <v>0</v>
      </c>
    </row>
    <row r="420" spans="1:8" outlineLevel="5">
      <c r="A420" s="74" t="s">
        <v>300</v>
      </c>
      <c r="B420" s="75" t="s">
        <v>289</v>
      </c>
      <c r="C420" s="75" t="s">
        <v>22</v>
      </c>
      <c r="D420" s="75" t="s">
        <v>480</v>
      </c>
      <c r="E420" s="77" t="s">
        <v>301</v>
      </c>
      <c r="F420" s="59">
        <f>1500000+15151.52</f>
        <v>1515151.52</v>
      </c>
      <c r="G420" s="59">
        <v>0</v>
      </c>
      <c r="H420" s="59">
        <v>0</v>
      </c>
    </row>
    <row r="421" spans="1:8" ht="110.25" outlineLevel="5">
      <c r="A421" s="76" t="s">
        <v>469</v>
      </c>
      <c r="B421" s="65" t="s">
        <v>289</v>
      </c>
      <c r="C421" s="65" t="s">
        <v>22</v>
      </c>
      <c r="D421" s="77" t="s">
        <v>470</v>
      </c>
      <c r="E421" s="78" t="s">
        <v>20</v>
      </c>
      <c r="F421" s="79">
        <f>F422</f>
        <v>1523340</v>
      </c>
      <c r="G421" s="79">
        <f t="shared" ref="G421:H422" si="94">G422</f>
        <v>1523340</v>
      </c>
      <c r="H421" s="79">
        <f t="shared" si="94"/>
        <v>1523340</v>
      </c>
    </row>
    <row r="422" spans="1:8" ht="31.5" outlineLevel="5">
      <c r="A422" s="80" t="s">
        <v>298</v>
      </c>
      <c r="B422" s="65" t="s">
        <v>289</v>
      </c>
      <c r="C422" s="65" t="s">
        <v>22</v>
      </c>
      <c r="D422" s="78" t="s">
        <v>470</v>
      </c>
      <c r="E422" s="77" t="s">
        <v>299</v>
      </c>
      <c r="F422" s="79">
        <f>F423</f>
        <v>1523340</v>
      </c>
      <c r="G422" s="79">
        <f t="shared" si="94"/>
        <v>1523340</v>
      </c>
      <c r="H422" s="79">
        <f t="shared" si="94"/>
        <v>1523340</v>
      </c>
    </row>
    <row r="423" spans="1:8" outlineLevel="5">
      <c r="A423" s="80" t="s">
        <v>300</v>
      </c>
      <c r="B423" s="65" t="s">
        <v>289</v>
      </c>
      <c r="C423" s="65" t="s">
        <v>22</v>
      </c>
      <c r="D423" s="78" t="s">
        <v>470</v>
      </c>
      <c r="E423" s="77" t="s">
        <v>301</v>
      </c>
      <c r="F423" s="79">
        <v>1523340</v>
      </c>
      <c r="G423" s="79">
        <v>1523340</v>
      </c>
      <c r="H423" s="79">
        <v>1523340</v>
      </c>
    </row>
    <row r="424" spans="1:8" ht="66.75" customHeight="1" outlineLevel="5">
      <c r="A424" s="74" t="s">
        <v>332</v>
      </c>
      <c r="B424" s="75" t="s">
        <v>289</v>
      </c>
      <c r="C424" s="75" t="s">
        <v>22</v>
      </c>
      <c r="D424" s="75" t="s">
        <v>468</v>
      </c>
      <c r="E424" s="75" t="s">
        <v>20</v>
      </c>
      <c r="F424" s="59">
        <f t="shared" ref="F424:H425" si="95">F425</f>
        <v>2979653.28</v>
      </c>
      <c r="G424" s="59">
        <f t="shared" si="95"/>
        <v>3024864</v>
      </c>
      <c r="H424" s="59">
        <f t="shared" si="95"/>
        <v>3079580.6399999997</v>
      </c>
    </row>
    <row r="425" spans="1:8" ht="31.5" outlineLevel="5">
      <c r="A425" s="74" t="s">
        <v>298</v>
      </c>
      <c r="B425" s="75" t="s">
        <v>289</v>
      </c>
      <c r="C425" s="75" t="s">
        <v>22</v>
      </c>
      <c r="D425" s="75" t="s">
        <v>468</v>
      </c>
      <c r="E425" s="75" t="s">
        <v>299</v>
      </c>
      <c r="F425" s="59">
        <f t="shared" si="95"/>
        <v>2979653.28</v>
      </c>
      <c r="G425" s="59">
        <f t="shared" si="95"/>
        <v>3024864</v>
      </c>
      <c r="H425" s="59">
        <f t="shared" si="95"/>
        <v>3079580.6399999997</v>
      </c>
    </row>
    <row r="426" spans="1:8" outlineLevel="5">
      <c r="A426" s="52" t="s">
        <v>300</v>
      </c>
      <c r="B426" s="53" t="s">
        <v>289</v>
      </c>
      <c r="C426" s="53" t="s">
        <v>22</v>
      </c>
      <c r="D426" s="53" t="s">
        <v>468</v>
      </c>
      <c r="E426" s="53" t="s">
        <v>301</v>
      </c>
      <c r="F426" s="56">
        <f>2855942.4+123710.88</f>
        <v>2979653.28</v>
      </c>
      <c r="G426" s="56">
        <f>4228570.8-1203706.8</f>
        <v>3024864</v>
      </c>
      <c r="H426" s="56">
        <f>4228570.8-1148990.16</f>
        <v>3079580.6399999997</v>
      </c>
    </row>
    <row r="427" spans="1:8" ht="47.25" outlineLevel="5">
      <c r="A427" s="52" t="s">
        <v>322</v>
      </c>
      <c r="B427" s="53" t="s">
        <v>289</v>
      </c>
      <c r="C427" s="53" t="s">
        <v>22</v>
      </c>
      <c r="D427" s="53" t="s">
        <v>323</v>
      </c>
      <c r="E427" s="53" t="s">
        <v>20</v>
      </c>
      <c r="F427" s="56">
        <f t="shared" ref="F427:H428" si="96">F428</f>
        <v>42354000</v>
      </c>
      <c r="G427" s="56">
        <f t="shared" si="96"/>
        <v>42354000</v>
      </c>
      <c r="H427" s="56">
        <f t="shared" si="96"/>
        <v>42588000</v>
      </c>
    </row>
    <row r="428" spans="1:8" ht="31.5" outlineLevel="5">
      <c r="A428" s="52" t="s">
        <v>298</v>
      </c>
      <c r="B428" s="53" t="s">
        <v>289</v>
      </c>
      <c r="C428" s="53" t="s">
        <v>22</v>
      </c>
      <c r="D428" s="53" t="s">
        <v>323</v>
      </c>
      <c r="E428" s="53" t="s">
        <v>299</v>
      </c>
      <c r="F428" s="56">
        <f t="shared" si="96"/>
        <v>42354000</v>
      </c>
      <c r="G428" s="56">
        <f t="shared" si="96"/>
        <v>42354000</v>
      </c>
      <c r="H428" s="56">
        <f t="shared" si="96"/>
        <v>42588000</v>
      </c>
    </row>
    <row r="429" spans="1:8" outlineLevel="5">
      <c r="A429" s="52" t="s">
        <v>300</v>
      </c>
      <c r="B429" s="53" t="s">
        <v>289</v>
      </c>
      <c r="C429" s="53" t="s">
        <v>22</v>
      </c>
      <c r="D429" s="53" t="s">
        <v>323</v>
      </c>
      <c r="E429" s="53" t="s">
        <v>301</v>
      </c>
      <c r="F429" s="56">
        <f>33228000+9126000</f>
        <v>42354000</v>
      </c>
      <c r="G429" s="56">
        <f>33228000+9126000</f>
        <v>42354000</v>
      </c>
      <c r="H429" s="56">
        <f>33228000+9360000</f>
        <v>42588000</v>
      </c>
    </row>
    <row r="430" spans="1:8" ht="47.25" outlineLevel="5">
      <c r="A430" s="15" t="s">
        <v>304</v>
      </c>
      <c r="B430" s="16" t="s">
        <v>289</v>
      </c>
      <c r="C430" s="16" t="s">
        <v>22</v>
      </c>
      <c r="D430" s="16" t="s">
        <v>305</v>
      </c>
      <c r="E430" s="16" t="s">
        <v>20</v>
      </c>
      <c r="F430" s="17">
        <f t="shared" ref="F430:H433" si="97">F431</f>
        <v>2360960</v>
      </c>
      <c r="G430" s="17">
        <f t="shared" si="97"/>
        <v>2360960</v>
      </c>
      <c r="H430" s="17">
        <f t="shared" si="97"/>
        <v>2360960</v>
      </c>
    </row>
    <row r="431" spans="1:8" ht="31.5" outlineLevel="5">
      <c r="A431" s="15" t="s">
        <v>306</v>
      </c>
      <c r="B431" s="16" t="s">
        <v>289</v>
      </c>
      <c r="C431" s="16" t="s">
        <v>22</v>
      </c>
      <c r="D431" s="16" t="s">
        <v>307</v>
      </c>
      <c r="E431" s="16" t="s">
        <v>20</v>
      </c>
      <c r="F431" s="17">
        <f t="shared" si="97"/>
        <v>2360960</v>
      </c>
      <c r="G431" s="17">
        <f t="shared" si="97"/>
        <v>2360960</v>
      </c>
      <c r="H431" s="17">
        <f t="shared" si="97"/>
        <v>2360960</v>
      </c>
    </row>
    <row r="432" spans="1:8" ht="31.5" outlineLevel="5">
      <c r="A432" s="15" t="s">
        <v>308</v>
      </c>
      <c r="B432" s="16" t="s">
        <v>289</v>
      </c>
      <c r="C432" s="16" t="s">
        <v>22</v>
      </c>
      <c r="D432" s="16" t="s">
        <v>309</v>
      </c>
      <c r="E432" s="16" t="s">
        <v>20</v>
      </c>
      <c r="F432" s="17">
        <f t="shared" si="97"/>
        <v>2360960</v>
      </c>
      <c r="G432" s="17">
        <f t="shared" si="97"/>
        <v>2360960</v>
      </c>
      <c r="H432" s="17">
        <f t="shared" si="97"/>
        <v>2360960</v>
      </c>
    </row>
    <row r="433" spans="1:8" ht="31.5" outlineLevel="5">
      <c r="A433" s="15" t="s">
        <v>298</v>
      </c>
      <c r="B433" s="16" t="s">
        <v>289</v>
      </c>
      <c r="C433" s="16" t="s">
        <v>22</v>
      </c>
      <c r="D433" s="16" t="s">
        <v>309</v>
      </c>
      <c r="E433" s="16" t="s">
        <v>299</v>
      </c>
      <c r="F433" s="17">
        <f t="shared" si="97"/>
        <v>2360960</v>
      </c>
      <c r="G433" s="17">
        <f t="shared" si="97"/>
        <v>2360960</v>
      </c>
      <c r="H433" s="17">
        <f t="shared" si="97"/>
        <v>2360960</v>
      </c>
    </row>
    <row r="434" spans="1:8" outlineLevel="5">
      <c r="A434" s="15" t="s">
        <v>300</v>
      </c>
      <c r="B434" s="16" t="s">
        <v>289</v>
      </c>
      <c r="C434" s="16" t="s">
        <v>22</v>
      </c>
      <c r="D434" s="16" t="s">
        <v>309</v>
      </c>
      <c r="E434" s="16" t="s">
        <v>301</v>
      </c>
      <c r="F434" s="17">
        <v>2360960</v>
      </c>
      <c r="G434" s="17">
        <v>2360960</v>
      </c>
      <c r="H434" s="17">
        <v>2360960</v>
      </c>
    </row>
    <row r="435" spans="1:8" ht="47.25" outlineLevel="5">
      <c r="A435" s="15" t="s">
        <v>122</v>
      </c>
      <c r="B435" s="16" t="s">
        <v>289</v>
      </c>
      <c r="C435" s="16" t="s">
        <v>22</v>
      </c>
      <c r="D435" s="16" t="s">
        <v>123</v>
      </c>
      <c r="E435" s="16" t="s">
        <v>20</v>
      </c>
      <c r="F435" s="17">
        <f t="shared" ref="F435:H438" si="98">F436</f>
        <v>107300</v>
      </c>
      <c r="G435" s="17">
        <f t="shared" si="98"/>
        <v>102700</v>
      </c>
      <c r="H435" s="17">
        <f t="shared" si="98"/>
        <v>0</v>
      </c>
    </row>
    <row r="436" spans="1:8" ht="47.25" outlineLevel="5">
      <c r="A436" s="15" t="s">
        <v>124</v>
      </c>
      <c r="B436" s="16" t="s">
        <v>289</v>
      </c>
      <c r="C436" s="16" t="s">
        <v>22</v>
      </c>
      <c r="D436" s="16" t="s">
        <v>125</v>
      </c>
      <c r="E436" s="16" t="s">
        <v>20</v>
      </c>
      <c r="F436" s="17">
        <f t="shared" si="98"/>
        <v>107300</v>
      </c>
      <c r="G436" s="17">
        <f t="shared" si="98"/>
        <v>102700</v>
      </c>
      <c r="H436" s="17">
        <f t="shared" si="98"/>
        <v>0</v>
      </c>
    </row>
    <row r="437" spans="1:8" ht="31.5" outlineLevel="5">
      <c r="A437" s="15" t="s">
        <v>126</v>
      </c>
      <c r="B437" s="16" t="s">
        <v>289</v>
      </c>
      <c r="C437" s="16" t="s">
        <v>22</v>
      </c>
      <c r="D437" s="16" t="s">
        <v>127</v>
      </c>
      <c r="E437" s="16" t="s">
        <v>20</v>
      </c>
      <c r="F437" s="17">
        <f t="shared" si="98"/>
        <v>107300</v>
      </c>
      <c r="G437" s="17">
        <f t="shared" si="98"/>
        <v>102700</v>
      </c>
      <c r="H437" s="17">
        <f t="shared" si="98"/>
        <v>0</v>
      </c>
    </row>
    <row r="438" spans="1:8" ht="31.5" outlineLevel="5">
      <c r="A438" s="15" t="s">
        <v>298</v>
      </c>
      <c r="B438" s="16" t="s">
        <v>289</v>
      </c>
      <c r="C438" s="16" t="s">
        <v>22</v>
      </c>
      <c r="D438" s="16" t="s">
        <v>127</v>
      </c>
      <c r="E438" s="16" t="s">
        <v>299</v>
      </c>
      <c r="F438" s="17">
        <f t="shared" si="98"/>
        <v>107300</v>
      </c>
      <c r="G438" s="17">
        <f t="shared" si="98"/>
        <v>102700</v>
      </c>
      <c r="H438" s="17">
        <f t="shared" si="98"/>
        <v>0</v>
      </c>
    </row>
    <row r="439" spans="1:8" outlineLevel="5">
      <c r="A439" s="15" t="s">
        <v>300</v>
      </c>
      <c r="B439" s="16" t="s">
        <v>289</v>
      </c>
      <c r="C439" s="16" t="s">
        <v>22</v>
      </c>
      <c r="D439" s="16" t="s">
        <v>127</v>
      </c>
      <c r="E439" s="16" t="s">
        <v>301</v>
      </c>
      <c r="F439" s="17">
        <v>107300</v>
      </c>
      <c r="G439" s="17">
        <v>102700</v>
      </c>
      <c r="H439" s="17">
        <v>0</v>
      </c>
    </row>
    <row r="440" spans="1:8" ht="47.25" outlineLevel="5">
      <c r="A440" s="15" t="s">
        <v>310</v>
      </c>
      <c r="B440" s="16" t="s">
        <v>289</v>
      </c>
      <c r="C440" s="16" t="s">
        <v>22</v>
      </c>
      <c r="D440" s="16" t="s">
        <v>311</v>
      </c>
      <c r="E440" s="16" t="s">
        <v>20</v>
      </c>
      <c r="F440" s="17">
        <f t="shared" ref="F440:H443" si="99">F441</f>
        <v>50000</v>
      </c>
      <c r="G440" s="17">
        <f t="shared" si="99"/>
        <v>0</v>
      </c>
      <c r="H440" s="17">
        <f t="shared" si="99"/>
        <v>0</v>
      </c>
    </row>
    <row r="441" spans="1:8" ht="47.25" outlineLevel="5">
      <c r="A441" s="15" t="s">
        <v>312</v>
      </c>
      <c r="B441" s="16" t="s">
        <v>289</v>
      </c>
      <c r="C441" s="16" t="s">
        <v>22</v>
      </c>
      <c r="D441" s="16" t="s">
        <v>313</v>
      </c>
      <c r="E441" s="16" t="s">
        <v>20</v>
      </c>
      <c r="F441" s="17">
        <f t="shared" si="99"/>
        <v>50000</v>
      </c>
      <c r="G441" s="17">
        <f t="shared" si="99"/>
        <v>0</v>
      </c>
      <c r="H441" s="17">
        <f t="shared" si="99"/>
        <v>0</v>
      </c>
    </row>
    <row r="442" spans="1:8" outlineLevel="5">
      <c r="A442" s="15" t="s">
        <v>314</v>
      </c>
      <c r="B442" s="16" t="s">
        <v>289</v>
      </c>
      <c r="C442" s="16" t="s">
        <v>22</v>
      </c>
      <c r="D442" s="16" t="s">
        <v>315</v>
      </c>
      <c r="E442" s="16" t="s">
        <v>20</v>
      </c>
      <c r="F442" s="17">
        <f t="shared" si="99"/>
        <v>50000</v>
      </c>
      <c r="G442" s="17">
        <f t="shared" si="99"/>
        <v>0</v>
      </c>
      <c r="H442" s="17">
        <f t="shared" si="99"/>
        <v>0</v>
      </c>
    </row>
    <row r="443" spans="1:8" ht="31.5" outlineLevel="5">
      <c r="A443" s="15" t="s">
        <v>298</v>
      </c>
      <c r="B443" s="16" t="s">
        <v>289</v>
      </c>
      <c r="C443" s="16" t="s">
        <v>22</v>
      </c>
      <c r="D443" s="16" t="s">
        <v>315</v>
      </c>
      <c r="E443" s="16" t="s">
        <v>299</v>
      </c>
      <c r="F443" s="17">
        <f t="shared" si="99"/>
        <v>50000</v>
      </c>
      <c r="G443" s="17">
        <f t="shared" si="99"/>
        <v>0</v>
      </c>
      <c r="H443" s="17">
        <f t="shared" si="99"/>
        <v>0</v>
      </c>
    </row>
    <row r="444" spans="1:8" outlineLevel="5">
      <c r="A444" s="15" t="s">
        <v>300</v>
      </c>
      <c r="B444" s="16" t="s">
        <v>289</v>
      </c>
      <c r="C444" s="16" t="s">
        <v>22</v>
      </c>
      <c r="D444" s="16" t="s">
        <v>315</v>
      </c>
      <c r="E444" s="16" t="s">
        <v>301</v>
      </c>
      <c r="F444" s="17">
        <v>50000</v>
      </c>
      <c r="G444" s="17">
        <v>0</v>
      </c>
      <c r="H444" s="17">
        <v>0</v>
      </c>
    </row>
    <row r="445" spans="1:8" outlineLevel="5">
      <c r="A445" s="15" t="s">
        <v>333</v>
      </c>
      <c r="B445" s="16" t="s">
        <v>289</v>
      </c>
      <c r="C445" s="16" t="s">
        <v>34</v>
      </c>
      <c r="D445" s="16" t="s">
        <v>19</v>
      </c>
      <c r="E445" s="16" t="s">
        <v>20</v>
      </c>
      <c r="F445" s="17">
        <f>F446+F462+F468</f>
        <v>83152430</v>
      </c>
      <c r="G445" s="17">
        <f>G446+G462+G468</f>
        <v>91081766</v>
      </c>
      <c r="H445" s="17">
        <f>H446+H462+H468</f>
        <v>96511850</v>
      </c>
    </row>
    <row r="446" spans="1:8" ht="31.5" outlineLevel="5">
      <c r="A446" s="15" t="s">
        <v>291</v>
      </c>
      <c r="B446" s="16" t="s">
        <v>289</v>
      </c>
      <c r="C446" s="16" t="s">
        <v>34</v>
      </c>
      <c r="D446" s="16" t="s">
        <v>292</v>
      </c>
      <c r="E446" s="16" t="s">
        <v>20</v>
      </c>
      <c r="F446" s="17">
        <f>F447</f>
        <v>59982030</v>
      </c>
      <c r="G446" s="17">
        <f>G447</f>
        <v>61781190</v>
      </c>
      <c r="H446" s="17">
        <f>H447</f>
        <v>64056050</v>
      </c>
    </row>
    <row r="447" spans="1:8" ht="31.5" outlineLevel="5">
      <c r="A447" s="15" t="s">
        <v>334</v>
      </c>
      <c r="B447" s="16" t="s">
        <v>289</v>
      </c>
      <c r="C447" s="16" t="s">
        <v>34</v>
      </c>
      <c r="D447" s="16" t="s">
        <v>335</v>
      </c>
      <c r="E447" s="16" t="s">
        <v>20</v>
      </c>
      <c r="F447" s="17">
        <f>F448+F459</f>
        <v>59982030</v>
      </c>
      <c r="G447" s="17">
        <f>G448+G459</f>
        <v>61781190</v>
      </c>
      <c r="H447" s="17">
        <f>H448+H459</f>
        <v>64056050</v>
      </c>
    </row>
    <row r="448" spans="1:8" ht="31.5" outlineLevel="5">
      <c r="A448" s="15" t="s">
        <v>112</v>
      </c>
      <c r="B448" s="16" t="s">
        <v>289</v>
      </c>
      <c r="C448" s="16" t="s">
        <v>34</v>
      </c>
      <c r="D448" s="16" t="s">
        <v>336</v>
      </c>
      <c r="E448" s="16" t="s">
        <v>20</v>
      </c>
      <c r="F448" s="17">
        <f>F449+F452</f>
        <v>56987430</v>
      </c>
      <c r="G448" s="17">
        <f>G449+G452</f>
        <v>58786590</v>
      </c>
      <c r="H448" s="17">
        <f>H449+H452</f>
        <v>61061450</v>
      </c>
    </row>
    <row r="449" spans="1:8" outlineLevel="5">
      <c r="A449" s="15" t="s">
        <v>337</v>
      </c>
      <c r="B449" s="16" t="s">
        <v>289</v>
      </c>
      <c r="C449" s="16" t="s">
        <v>34</v>
      </c>
      <c r="D449" s="16" t="s">
        <v>338</v>
      </c>
      <c r="E449" s="16" t="s">
        <v>20</v>
      </c>
      <c r="F449" s="17">
        <f t="shared" ref="F449:H450" si="100">F450</f>
        <v>28218650</v>
      </c>
      <c r="G449" s="17">
        <f t="shared" si="100"/>
        <v>29423080</v>
      </c>
      <c r="H449" s="17">
        <f t="shared" si="100"/>
        <v>30663420</v>
      </c>
    </row>
    <row r="450" spans="1:8" ht="31.5" outlineLevel="5">
      <c r="A450" s="15" t="s">
        <v>298</v>
      </c>
      <c r="B450" s="16" t="s">
        <v>289</v>
      </c>
      <c r="C450" s="16" t="s">
        <v>34</v>
      </c>
      <c r="D450" s="16" t="s">
        <v>338</v>
      </c>
      <c r="E450" s="16" t="s">
        <v>299</v>
      </c>
      <c r="F450" s="17">
        <f t="shared" si="100"/>
        <v>28218650</v>
      </c>
      <c r="G450" s="17">
        <f t="shared" si="100"/>
        <v>29423080</v>
      </c>
      <c r="H450" s="17">
        <f t="shared" si="100"/>
        <v>30663420</v>
      </c>
    </row>
    <row r="451" spans="1:8" outlineLevel="5">
      <c r="A451" s="15" t="s">
        <v>300</v>
      </c>
      <c r="B451" s="16" t="s">
        <v>289</v>
      </c>
      <c r="C451" s="16" t="s">
        <v>34</v>
      </c>
      <c r="D451" s="16" t="s">
        <v>338</v>
      </c>
      <c r="E451" s="16" t="s">
        <v>301</v>
      </c>
      <c r="F451" s="17">
        <f>31213250-2994600</f>
        <v>28218650</v>
      </c>
      <c r="G451" s="17">
        <f>32417680-2994600</f>
        <v>29423080</v>
      </c>
      <c r="H451" s="17">
        <f>33658020-2994600</f>
        <v>30663420</v>
      </c>
    </row>
    <row r="452" spans="1:8" outlineLevel="5">
      <c r="A452" s="15" t="s">
        <v>339</v>
      </c>
      <c r="B452" s="16" t="s">
        <v>289</v>
      </c>
      <c r="C452" s="16" t="s">
        <v>34</v>
      </c>
      <c r="D452" s="16" t="s">
        <v>340</v>
      </c>
      <c r="E452" s="16" t="s">
        <v>20</v>
      </c>
      <c r="F452" s="17">
        <f>F453+F455+F457</f>
        <v>28768780</v>
      </c>
      <c r="G452" s="17">
        <f>G453+G455+G457</f>
        <v>29363510</v>
      </c>
      <c r="H452" s="17">
        <f>H453+H455+H457</f>
        <v>30398030</v>
      </c>
    </row>
    <row r="453" spans="1:8" ht="63" outlineLevel="5">
      <c r="A453" s="15" t="s">
        <v>29</v>
      </c>
      <c r="B453" s="16" t="s">
        <v>289</v>
      </c>
      <c r="C453" s="16" t="s">
        <v>34</v>
      </c>
      <c r="D453" s="16" t="s">
        <v>340</v>
      </c>
      <c r="E453" s="16" t="s">
        <v>30</v>
      </c>
      <c r="F453" s="17">
        <f>F454</f>
        <v>24938200</v>
      </c>
      <c r="G453" s="17">
        <f>G454</f>
        <v>25932930</v>
      </c>
      <c r="H453" s="17">
        <f>H454</f>
        <v>26967450</v>
      </c>
    </row>
    <row r="454" spans="1:8" outlineLevel="5">
      <c r="A454" s="15" t="s">
        <v>88</v>
      </c>
      <c r="B454" s="16" t="s">
        <v>289</v>
      </c>
      <c r="C454" s="16" t="s">
        <v>34</v>
      </c>
      <c r="D454" s="16" t="s">
        <v>340</v>
      </c>
      <c r="E454" s="16" t="s">
        <v>89</v>
      </c>
      <c r="F454" s="17">
        <v>24938200</v>
      </c>
      <c r="G454" s="17">
        <v>25932930</v>
      </c>
      <c r="H454" s="17">
        <v>26967450</v>
      </c>
    </row>
    <row r="455" spans="1:8" ht="31.5" outlineLevel="5">
      <c r="A455" s="52" t="s">
        <v>37</v>
      </c>
      <c r="B455" s="53" t="s">
        <v>289</v>
      </c>
      <c r="C455" s="53" t="s">
        <v>34</v>
      </c>
      <c r="D455" s="53" t="s">
        <v>340</v>
      </c>
      <c r="E455" s="53" t="s">
        <v>38</v>
      </c>
      <c r="F455" s="56">
        <f>F456</f>
        <v>2834300</v>
      </c>
      <c r="G455" s="17">
        <f>G456</f>
        <v>2434300</v>
      </c>
      <c r="H455" s="17">
        <f>H456</f>
        <v>2434300</v>
      </c>
    </row>
    <row r="456" spans="1:8" ht="31.5" outlineLevel="5">
      <c r="A456" s="52" t="s">
        <v>39</v>
      </c>
      <c r="B456" s="53" t="s">
        <v>289</v>
      </c>
      <c r="C456" s="53" t="s">
        <v>34</v>
      </c>
      <c r="D456" s="53" t="s">
        <v>340</v>
      </c>
      <c r="E456" s="53" t="s">
        <v>40</v>
      </c>
      <c r="F456" s="56">
        <f>2434300+400000</f>
        <v>2834300</v>
      </c>
      <c r="G456" s="17">
        <v>2434300</v>
      </c>
      <c r="H456" s="17">
        <v>2434300</v>
      </c>
    </row>
    <row r="457" spans="1:8" outlineLevel="5">
      <c r="A457" s="15" t="s">
        <v>45</v>
      </c>
      <c r="B457" s="16" t="s">
        <v>289</v>
      </c>
      <c r="C457" s="16" t="s">
        <v>34</v>
      </c>
      <c r="D457" s="16" t="s">
        <v>340</v>
      </c>
      <c r="E457" s="16" t="s">
        <v>46</v>
      </c>
      <c r="F457" s="17">
        <f>F458</f>
        <v>996280</v>
      </c>
      <c r="G457" s="17">
        <f>G458</f>
        <v>996280</v>
      </c>
      <c r="H457" s="17">
        <f>H458</f>
        <v>996280</v>
      </c>
    </row>
    <row r="458" spans="1:8" outlineLevel="5">
      <c r="A458" s="15" t="s">
        <v>47</v>
      </c>
      <c r="B458" s="16" t="s">
        <v>289</v>
      </c>
      <c r="C458" s="16" t="s">
        <v>34</v>
      </c>
      <c r="D458" s="16" t="s">
        <v>340</v>
      </c>
      <c r="E458" s="16" t="s">
        <v>48</v>
      </c>
      <c r="F458" s="17">
        <v>996280</v>
      </c>
      <c r="G458" s="17">
        <v>996280</v>
      </c>
      <c r="H458" s="17">
        <v>996280</v>
      </c>
    </row>
    <row r="459" spans="1:8" ht="31.5" outlineLevel="5">
      <c r="A459" s="15" t="s">
        <v>341</v>
      </c>
      <c r="B459" s="16" t="s">
        <v>289</v>
      </c>
      <c r="C459" s="16" t="s">
        <v>34</v>
      </c>
      <c r="D459" s="16" t="s">
        <v>342</v>
      </c>
      <c r="E459" s="16" t="s">
        <v>20</v>
      </c>
      <c r="F459" s="17">
        <f t="shared" ref="F459:H460" si="101">F460</f>
        <v>2994600</v>
      </c>
      <c r="G459" s="17">
        <f t="shared" si="101"/>
        <v>2994600</v>
      </c>
      <c r="H459" s="17">
        <f t="shared" si="101"/>
        <v>2994600</v>
      </c>
    </row>
    <row r="460" spans="1:8" ht="31.5" outlineLevel="5">
      <c r="A460" s="15" t="s">
        <v>298</v>
      </c>
      <c r="B460" s="16" t="s">
        <v>289</v>
      </c>
      <c r="C460" s="16" t="s">
        <v>34</v>
      </c>
      <c r="D460" s="16" t="s">
        <v>342</v>
      </c>
      <c r="E460" s="16" t="s">
        <v>299</v>
      </c>
      <c r="F460" s="17">
        <f t="shared" si="101"/>
        <v>2994600</v>
      </c>
      <c r="G460" s="17">
        <f t="shared" si="101"/>
        <v>2994600</v>
      </c>
      <c r="H460" s="17">
        <f t="shared" si="101"/>
        <v>2994600</v>
      </c>
    </row>
    <row r="461" spans="1:8" outlineLevel="5">
      <c r="A461" s="15" t="s">
        <v>300</v>
      </c>
      <c r="B461" s="16" t="s">
        <v>289</v>
      </c>
      <c r="C461" s="16" t="s">
        <v>34</v>
      </c>
      <c r="D461" s="16" t="s">
        <v>342</v>
      </c>
      <c r="E461" s="16" t="s">
        <v>301</v>
      </c>
      <c r="F461" s="17">
        <v>2994600</v>
      </c>
      <c r="G461" s="17">
        <v>2994600</v>
      </c>
      <c r="H461" s="17">
        <v>2994600</v>
      </c>
    </row>
    <row r="462" spans="1:8" ht="31.5" outlineLevel="5">
      <c r="A462" s="15" t="s">
        <v>261</v>
      </c>
      <c r="B462" s="16" t="s">
        <v>289</v>
      </c>
      <c r="C462" s="16" t="s">
        <v>34</v>
      </c>
      <c r="D462" s="16" t="s">
        <v>262</v>
      </c>
      <c r="E462" s="16" t="s">
        <v>20</v>
      </c>
      <c r="F462" s="17">
        <f t="shared" ref="F462:H466" si="102">F463</f>
        <v>23070400</v>
      </c>
      <c r="G462" s="17">
        <f t="shared" si="102"/>
        <v>29300576</v>
      </c>
      <c r="H462" s="17">
        <f t="shared" si="102"/>
        <v>32455800</v>
      </c>
    </row>
    <row r="463" spans="1:8" ht="47.25" outlineLevel="5">
      <c r="A463" s="15" t="s">
        <v>343</v>
      </c>
      <c r="B463" s="16" t="s">
        <v>289</v>
      </c>
      <c r="C463" s="16" t="s">
        <v>34</v>
      </c>
      <c r="D463" s="16" t="s">
        <v>344</v>
      </c>
      <c r="E463" s="16" t="s">
        <v>20</v>
      </c>
      <c r="F463" s="17">
        <f t="shared" si="102"/>
        <v>23070400</v>
      </c>
      <c r="G463" s="17">
        <f t="shared" si="102"/>
        <v>29300576</v>
      </c>
      <c r="H463" s="17">
        <f t="shared" si="102"/>
        <v>32455800</v>
      </c>
    </row>
    <row r="464" spans="1:8" ht="31.5" outlineLevel="5">
      <c r="A464" s="15" t="s">
        <v>112</v>
      </c>
      <c r="B464" s="16" t="s">
        <v>289</v>
      </c>
      <c r="C464" s="16" t="s">
        <v>34</v>
      </c>
      <c r="D464" s="16" t="s">
        <v>345</v>
      </c>
      <c r="E464" s="16" t="s">
        <v>20</v>
      </c>
      <c r="F464" s="17">
        <f t="shared" si="102"/>
        <v>23070400</v>
      </c>
      <c r="G464" s="17">
        <f t="shared" si="102"/>
        <v>29300576</v>
      </c>
      <c r="H464" s="17">
        <f t="shared" si="102"/>
        <v>32455800</v>
      </c>
    </row>
    <row r="465" spans="1:8" outlineLevel="5">
      <c r="A465" s="15" t="s">
        <v>346</v>
      </c>
      <c r="B465" s="16" t="s">
        <v>289</v>
      </c>
      <c r="C465" s="16" t="s">
        <v>34</v>
      </c>
      <c r="D465" s="16" t="s">
        <v>347</v>
      </c>
      <c r="E465" s="16" t="s">
        <v>20</v>
      </c>
      <c r="F465" s="17">
        <f t="shared" si="102"/>
        <v>23070400</v>
      </c>
      <c r="G465" s="17">
        <f t="shared" si="102"/>
        <v>29300576</v>
      </c>
      <c r="H465" s="17">
        <f t="shared" si="102"/>
        <v>32455800</v>
      </c>
    </row>
    <row r="466" spans="1:8" ht="31.5" outlineLevel="5">
      <c r="A466" s="15" t="s">
        <v>298</v>
      </c>
      <c r="B466" s="16" t="s">
        <v>289</v>
      </c>
      <c r="C466" s="16" t="s">
        <v>34</v>
      </c>
      <c r="D466" s="16" t="s">
        <v>347</v>
      </c>
      <c r="E466" s="16" t="s">
        <v>299</v>
      </c>
      <c r="F466" s="17">
        <f t="shared" si="102"/>
        <v>23070400</v>
      </c>
      <c r="G466" s="17">
        <f t="shared" si="102"/>
        <v>29300576</v>
      </c>
      <c r="H466" s="17">
        <f t="shared" si="102"/>
        <v>32455800</v>
      </c>
    </row>
    <row r="467" spans="1:8" outlineLevel="5">
      <c r="A467" s="15" t="s">
        <v>300</v>
      </c>
      <c r="B467" s="16" t="s">
        <v>289</v>
      </c>
      <c r="C467" s="16" t="s">
        <v>34</v>
      </c>
      <c r="D467" s="16" t="s">
        <v>347</v>
      </c>
      <c r="E467" s="16" t="s">
        <v>301</v>
      </c>
      <c r="F467" s="17">
        <v>23070400</v>
      </c>
      <c r="G467" s="17">
        <v>29300576</v>
      </c>
      <c r="H467" s="17">
        <v>32455800</v>
      </c>
    </row>
    <row r="468" spans="1:8" ht="47.25" outlineLevel="5">
      <c r="A468" s="15" t="s">
        <v>310</v>
      </c>
      <c r="B468" s="16" t="s">
        <v>289</v>
      </c>
      <c r="C468" s="16" t="s">
        <v>34</v>
      </c>
      <c r="D468" s="16" t="s">
        <v>311</v>
      </c>
      <c r="E468" s="16" t="s">
        <v>20</v>
      </c>
      <c r="F468" s="17">
        <f t="shared" ref="F468:H469" si="103">F469</f>
        <v>100000</v>
      </c>
      <c r="G468" s="17">
        <f t="shared" si="103"/>
        <v>0</v>
      </c>
      <c r="H468" s="17">
        <f t="shared" si="103"/>
        <v>0</v>
      </c>
    </row>
    <row r="469" spans="1:8" ht="47.25" outlineLevel="5">
      <c r="A469" s="15" t="s">
        <v>312</v>
      </c>
      <c r="B469" s="16" t="s">
        <v>289</v>
      </c>
      <c r="C469" s="16" t="s">
        <v>34</v>
      </c>
      <c r="D469" s="16" t="s">
        <v>313</v>
      </c>
      <c r="E469" s="16" t="s">
        <v>20</v>
      </c>
      <c r="F469" s="17">
        <f t="shared" si="103"/>
        <v>100000</v>
      </c>
      <c r="G469" s="17">
        <f t="shared" si="103"/>
        <v>0</v>
      </c>
      <c r="H469" s="17">
        <f t="shared" si="103"/>
        <v>0</v>
      </c>
    </row>
    <row r="470" spans="1:8" outlineLevel="5">
      <c r="A470" s="15" t="s">
        <v>314</v>
      </c>
      <c r="B470" s="16" t="s">
        <v>289</v>
      </c>
      <c r="C470" s="16" t="s">
        <v>34</v>
      </c>
      <c r="D470" s="16" t="s">
        <v>315</v>
      </c>
      <c r="E470" s="16" t="s">
        <v>20</v>
      </c>
      <c r="F470" s="17">
        <f>F471+F473</f>
        <v>100000</v>
      </c>
      <c r="G470" s="17">
        <f>G471+G473</f>
        <v>0</v>
      </c>
      <c r="H470" s="17">
        <f>H471+H473</f>
        <v>0</v>
      </c>
    </row>
    <row r="471" spans="1:8" ht="31.5" outlineLevel="5">
      <c r="A471" s="15" t="s">
        <v>37</v>
      </c>
      <c r="B471" s="16" t="s">
        <v>289</v>
      </c>
      <c r="C471" s="16" t="s">
        <v>34</v>
      </c>
      <c r="D471" s="16" t="s">
        <v>315</v>
      </c>
      <c r="E471" s="16" t="s">
        <v>38</v>
      </c>
      <c r="F471" s="17">
        <f>F472</f>
        <v>50000</v>
      </c>
      <c r="G471" s="17">
        <f>G472</f>
        <v>0</v>
      </c>
      <c r="H471" s="17">
        <f>H472</f>
        <v>0</v>
      </c>
    </row>
    <row r="472" spans="1:8" ht="31.5" outlineLevel="5">
      <c r="A472" s="15" t="s">
        <v>39</v>
      </c>
      <c r="B472" s="16" t="s">
        <v>289</v>
      </c>
      <c r="C472" s="16" t="s">
        <v>34</v>
      </c>
      <c r="D472" s="16" t="s">
        <v>315</v>
      </c>
      <c r="E472" s="16" t="s">
        <v>40</v>
      </c>
      <c r="F472" s="17">
        <v>50000</v>
      </c>
      <c r="G472" s="17">
        <v>0</v>
      </c>
      <c r="H472" s="17">
        <v>0</v>
      </c>
    </row>
    <row r="473" spans="1:8" ht="31.5" outlineLevel="5">
      <c r="A473" s="15" t="s">
        <v>298</v>
      </c>
      <c r="B473" s="16" t="s">
        <v>289</v>
      </c>
      <c r="C473" s="16" t="s">
        <v>34</v>
      </c>
      <c r="D473" s="16" t="s">
        <v>315</v>
      </c>
      <c r="E473" s="16" t="s">
        <v>299</v>
      </c>
      <c r="F473" s="17">
        <f>F474</f>
        <v>50000</v>
      </c>
      <c r="G473" s="17">
        <f>G474</f>
        <v>0</v>
      </c>
      <c r="H473" s="17">
        <f>H474</f>
        <v>0</v>
      </c>
    </row>
    <row r="474" spans="1:8" outlineLevel="5">
      <c r="A474" s="15" t="s">
        <v>300</v>
      </c>
      <c r="B474" s="16" t="s">
        <v>289</v>
      </c>
      <c r="C474" s="16" t="s">
        <v>34</v>
      </c>
      <c r="D474" s="16" t="s">
        <v>315</v>
      </c>
      <c r="E474" s="16" t="s">
        <v>301</v>
      </c>
      <c r="F474" s="17">
        <v>50000</v>
      </c>
      <c r="G474" s="17">
        <v>0</v>
      </c>
      <c r="H474" s="17">
        <v>0</v>
      </c>
    </row>
    <row r="475" spans="1:8" outlineLevel="1">
      <c r="A475" s="15" t="s">
        <v>348</v>
      </c>
      <c r="B475" s="16" t="s">
        <v>289</v>
      </c>
      <c r="C475" s="16" t="s">
        <v>289</v>
      </c>
      <c r="D475" s="16" t="s">
        <v>19</v>
      </c>
      <c r="E475" s="16" t="s">
        <v>20</v>
      </c>
      <c r="F475" s="17">
        <f>F476+F483+F490+F497</f>
        <v>2516000</v>
      </c>
      <c r="G475" s="17">
        <f>G476+G483+G490+G497</f>
        <v>241000</v>
      </c>
      <c r="H475" s="17">
        <f>H476+H483+H490+H497</f>
        <v>266000</v>
      </c>
    </row>
    <row r="476" spans="1:8" ht="47.25" outlineLevel="1">
      <c r="A476" s="15" t="s">
        <v>349</v>
      </c>
      <c r="B476" s="16" t="s">
        <v>289</v>
      </c>
      <c r="C476" s="16" t="s">
        <v>289</v>
      </c>
      <c r="D476" s="16" t="s">
        <v>350</v>
      </c>
      <c r="E476" s="16" t="s">
        <v>20</v>
      </c>
      <c r="F476" s="17">
        <f t="shared" ref="F476:H477" si="104">F477</f>
        <v>485000</v>
      </c>
      <c r="G476" s="17">
        <f t="shared" si="104"/>
        <v>0</v>
      </c>
      <c r="H476" s="17">
        <f t="shared" si="104"/>
        <v>0</v>
      </c>
    </row>
    <row r="477" spans="1:8" ht="47.25" outlineLevel="1">
      <c r="A477" s="15" t="s">
        <v>351</v>
      </c>
      <c r="B477" s="16" t="s">
        <v>289</v>
      </c>
      <c r="C477" s="16" t="s">
        <v>289</v>
      </c>
      <c r="D477" s="16" t="s">
        <v>352</v>
      </c>
      <c r="E477" s="16" t="s">
        <v>20</v>
      </c>
      <c r="F477" s="17">
        <f t="shared" si="104"/>
        <v>485000</v>
      </c>
      <c r="G477" s="17">
        <f t="shared" si="104"/>
        <v>0</v>
      </c>
      <c r="H477" s="17">
        <f t="shared" si="104"/>
        <v>0</v>
      </c>
    </row>
    <row r="478" spans="1:8" outlineLevel="3">
      <c r="A478" s="15" t="s">
        <v>353</v>
      </c>
      <c r="B478" s="16" t="s">
        <v>289</v>
      </c>
      <c r="C478" s="16" t="s">
        <v>289</v>
      </c>
      <c r="D478" s="16" t="s">
        <v>354</v>
      </c>
      <c r="E478" s="16" t="s">
        <v>20</v>
      </c>
      <c r="F478" s="17">
        <f>F479+F481</f>
        <v>485000</v>
      </c>
      <c r="G478" s="17">
        <f>G479+G481</f>
        <v>0</v>
      </c>
      <c r="H478" s="17">
        <f>H479+H481</f>
        <v>0</v>
      </c>
    </row>
    <row r="479" spans="1:8" ht="31.5" outlineLevel="3">
      <c r="A479" s="15" t="s">
        <v>37</v>
      </c>
      <c r="B479" s="16" t="s">
        <v>289</v>
      </c>
      <c r="C479" s="16" t="s">
        <v>289</v>
      </c>
      <c r="D479" s="16" t="s">
        <v>354</v>
      </c>
      <c r="E479" s="16" t="s">
        <v>38</v>
      </c>
      <c r="F479" s="17">
        <f>F480</f>
        <v>425000</v>
      </c>
      <c r="G479" s="17">
        <f>G480</f>
        <v>0</v>
      </c>
      <c r="H479" s="17">
        <f>H480</f>
        <v>0</v>
      </c>
    </row>
    <row r="480" spans="1:8" ht="31.5" outlineLevel="5">
      <c r="A480" s="15" t="s">
        <v>39</v>
      </c>
      <c r="B480" s="16" t="s">
        <v>289</v>
      </c>
      <c r="C480" s="16" t="s">
        <v>289</v>
      </c>
      <c r="D480" s="16" t="s">
        <v>354</v>
      </c>
      <c r="E480" s="16" t="s">
        <v>40</v>
      </c>
      <c r="F480" s="17">
        <v>425000</v>
      </c>
      <c r="G480" s="17">
        <v>0</v>
      </c>
      <c r="H480" s="17">
        <v>0</v>
      </c>
    </row>
    <row r="481" spans="1:8" outlineLevel="5">
      <c r="A481" s="15" t="s">
        <v>41</v>
      </c>
      <c r="B481" s="16" t="s">
        <v>289</v>
      </c>
      <c r="C481" s="16" t="s">
        <v>289</v>
      </c>
      <c r="D481" s="16" t="s">
        <v>354</v>
      </c>
      <c r="E481" s="16" t="s">
        <v>42</v>
      </c>
      <c r="F481" s="17">
        <f>F482</f>
        <v>60000</v>
      </c>
      <c r="G481" s="17">
        <f>G482</f>
        <v>0</v>
      </c>
      <c r="H481" s="17">
        <f>H482</f>
        <v>0</v>
      </c>
    </row>
    <row r="482" spans="1:8" outlineLevel="5">
      <c r="A482" s="15" t="s">
        <v>43</v>
      </c>
      <c r="B482" s="16" t="s">
        <v>289</v>
      </c>
      <c r="C482" s="16" t="s">
        <v>289</v>
      </c>
      <c r="D482" s="16" t="s">
        <v>354</v>
      </c>
      <c r="E482" s="16" t="s">
        <v>44</v>
      </c>
      <c r="F482" s="17">
        <v>60000</v>
      </c>
      <c r="G482" s="17">
        <v>0</v>
      </c>
      <c r="H482" s="17">
        <v>0</v>
      </c>
    </row>
    <row r="483" spans="1:8" ht="31.5" outlineLevel="5">
      <c r="A483" s="15" t="s">
        <v>355</v>
      </c>
      <c r="B483" s="16" t="s">
        <v>289</v>
      </c>
      <c r="C483" s="16" t="s">
        <v>289</v>
      </c>
      <c r="D483" s="16" t="s">
        <v>356</v>
      </c>
      <c r="E483" s="16" t="s">
        <v>20</v>
      </c>
      <c r="F483" s="17">
        <f t="shared" ref="F483:H484" si="105">F484</f>
        <v>1526000</v>
      </c>
      <c r="G483" s="17">
        <f t="shared" si="105"/>
        <v>0</v>
      </c>
      <c r="H483" s="17">
        <f t="shared" si="105"/>
        <v>0</v>
      </c>
    </row>
    <row r="484" spans="1:8" ht="47.25" outlineLevel="5">
      <c r="A484" s="15" t="s">
        <v>357</v>
      </c>
      <c r="B484" s="16" t="s">
        <v>289</v>
      </c>
      <c r="C484" s="16" t="s">
        <v>289</v>
      </c>
      <c r="D484" s="16" t="s">
        <v>358</v>
      </c>
      <c r="E484" s="16" t="s">
        <v>20</v>
      </c>
      <c r="F484" s="17">
        <f t="shared" si="105"/>
        <v>1526000</v>
      </c>
      <c r="G484" s="17">
        <f t="shared" si="105"/>
        <v>0</v>
      </c>
      <c r="H484" s="17">
        <f t="shared" si="105"/>
        <v>0</v>
      </c>
    </row>
    <row r="485" spans="1:8" ht="31.5" outlineLevel="5">
      <c r="A485" s="52" t="s">
        <v>359</v>
      </c>
      <c r="B485" s="53" t="s">
        <v>289</v>
      </c>
      <c r="C485" s="53" t="s">
        <v>289</v>
      </c>
      <c r="D485" s="53" t="s">
        <v>360</v>
      </c>
      <c r="E485" s="53" t="s">
        <v>20</v>
      </c>
      <c r="F485" s="56">
        <f>F486+F488</f>
        <v>1526000</v>
      </c>
      <c r="G485" s="17">
        <f>G486+G488</f>
        <v>0</v>
      </c>
      <c r="H485" s="17">
        <f>H486+H488</f>
        <v>0</v>
      </c>
    </row>
    <row r="486" spans="1:8" ht="31.5" outlineLevel="5">
      <c r="A486" s="52" t="s">
        <v>37</v>
      </c>
      <c r="B486" s="53" t="s">
        <v>289</v>
      </c>
      <c r="C486" s="53" t="s">
        <v>289</v>
      </c>
      <c r="D486" s="53" t="s">
        <v>360</v>
      </c>
      <c r="E486" s="53" t="s">
        <v>38</v>
      </c>
      <c r="F486" s="56">
        <f>F487</f>
        <v>1482000</v>
      </c>
      <c r="G486" s="17">
        <f>G487</f>
        <v>0</v>
      </c>
      <c r="H486" s="17">
        <f>H487</f>
        <v>0</v>
      </c>
    </row>
    <row r="487" spans="1:8" ht="31.5" outlineLevel="5">
      <c r="A487" s="52" t="s">
        <v>39</v>
      </c>
      <c r="B487" s="53" t="s">
        <v>289</v>
      </c>
      <c r="C487" s="53" t="s">
        <v>289</v>
      </c>
      <c r="D487" s="53" t="s">
        <v>360</v>
      </c>
      <c r="E487" s="53" t="s">
        <v>40</v>
      </c>
      <c r="F487" s="56">
        <f>767000+715000</f>
        <v>1482000</v>
      </c>
      <c r="G487" s="17">
        <v>0</v>
      </c>
      <c r="H487" s="17">
        <v>0</v>
      </c>
    </row>
    <row r="488" spans="1:8" ht="31.5" outlineLevel="5">
      <c r="A488" s="52" t="s">
        <v>298</v>
      </c>
      <c r="B488" s="53" t="s">
        <v>289</v>
      </c>
      <c r="C488" s="53" t="s">
        <v>289</v>
      </c>
      <c r="D488" s="53" t="s">
        <v>360</v>
      </c>
      <c r="E488" s="53" t="s">
        <v>299</v>
      </c>
      <c r="F488" s="56">
        <f>F489</f>
        <v>44000</v>
      </c>
      <c r="G488" s="17">
        <f>G489</f>
        <v>0</v>
      </c>
      <c r="H488" s="17">
        <f>H489</f>
        <v>0</v>
      </c>
    </row>
    <row r="489" spans="1:8" outlineLevel="5">
      <c r="A489" s="52" t="s">
        <v>300</v>
      </c>
      <c r="B489" s="53" t="s">
        <v>289</v>
      </c>
      <c r="C489" s="53" t="s">
        <v>289</v>
      </c>
      <c r="D489" s="53" t="s">
        <v>360</v>
      </c>
      <c r="E489" s="53" t="s">
        <v>301</v>
      </c>
      <c r="F489" s="56">
        <f>19000+25000</f>
        <v>44000</v>
      </c>
      <c r="G489" s="17">
        <v>0</v>
      </c>
      <c r="H489" s="17">
        <v>0</v>
      </c>
    </row>
    <row r="490" spans="1:8" ht="78.75" outlineLevel="5">
      <c r="A490" s="24" t="s">
        <v>361</v>
      </c>
      <c r="B490" s="16" t="s">
        <v>289</v>
      </c>
      <c r="C490" s="16" t="s">
        <v>289</v>
      </c>
      <c r="D490" s="16" t="s">
        <v>362</v>
      </c>
      <c r="E490" s="16" t="s">
        <v>20</v>
      </c>
      <c r="F490" s="17">
        <f t="shared" ref="F490:H491" si="106">F491</f>
        <v>284000</v>
      </c>
      <c r="G490" s="17">
        <f t="shared" si="106"/>
        <v>0</v>
      </c>
      <c r="H490" s="17">
        <f t="shared" si="106"/>
        <v>0</v>
      </c>
    </row>
    <row r="491" spans="1:8" ht="78.75" outlineLevel="5">
      <c r="A491" s="24" t="s">
        <v>363</v>
      </c>
      <c r="B491" s="16" t="s">
        <v>289</v>
      </c>
      <c r="C491" s="16" t="s">
        <v>289</v>
      </c>
      <c r="D491" s="16" t="s">
        <v>364</v>
      </c>
      <c r="E491" s="16" t="s">
        <v>20</v>
      </c>
      <c r="F491" s="17">
        <f t="shared" si="106"/>
        <v>284000</v>
      </c>
      <c r="G491" s="17">
        <f t="shared" si="106"/>
        <v>0</v>
      </c>
      <c r="H491" s="17">
        <f t="shared" si="106"/>
        <v>0</v>
      </c>
    </row>
    <row r="492" spans="1:8" ht="63" outlineLevel="5">
      <c r="A492" s="24" t="s">
        <v>365</v>
      </c>
      <c r="B492" s="16" t="s">
        <v>289</v>
      </c>
      <c r="C492" s="16" t="s">
        <v>289</v>
      </c>
      <c r="D492" s="16" t="s">
        <v>366</v>
      </c>
      <c r="E492" s="16" t="s">
        <v>20</v>
      </c>
      <c r="F492" s="17">
        <f>F493+F495</f>
        <v>284000</v>
      </c>
      <c r="G492" s="17">
        <f>G493+G495</f>
        <v>0</v>
      </c>
      <c r="H492" s="17">
        <f>H493+H495</f>
        <v>0</v>
      </c>
    </row>
    <row r="493" spans="1:8" ht="31.5" outlineLevel="5">
      <c r="A493" s="15" t="s">
        <v>37</v>
      </c>
      <c r="B493" s="16" t="s">
        <v>289</v>
      </c>
      <c r="C493" s="16" t="s">
        <v>289</v>
      </c>
      <c r="D493" s="16" t="s">
        <v>366</v>
      </c>
      <c r="E493" s="16" t="s">
        <v>38</v>
      </c>
      <c r="F493" s="17">
        <f>F494</f>
        <v>274000</v>
      </c>
      <c r="G493" s="17">
        <f>G494</f>
        <v>0</v>
      </c>
      <c r="H493" s="17">
        <f>H494</f>
        <v>0</v>
      </c>
    </row>
    <row r="494" spans="1:8" ht="31.5" outlineLevel="5">
      <c r="A494" s="15" t="s">
        <v>39</v>
      </c>
      <c r="B494" s="16" t="s">
        <v>289</v>
      </c>
      <c r="C494" s="16" t="s">
        <v>289</v>
      </c>
      <c r="D494" s="16" t="s">
        <v>366</v>
      </c>
      <c r="E494" s="16" t="s">
        <v>40</v>
      </c>
      <c r="F494" s="17">
        <v>274000</v>
      </c>
      <c r="G494" s="17">
        <v>0</v>
      </c>
      <c r="H494" s="17">
        <v>0</v>
      </c>
    </row>
    <row r="495" spans="1:8" ht="31.5" outlineLevel="5">
      <c r="A495" s="15" t="s">
        <v>298</v>
      </c>
      <c r="B495" s="16" t="s">
        <v>289</v>
      </c>
      <c r="C495" s="16" t="s">
        <v>289</v>
      </c>
      <c r="D495" s="16" t="s">
        <v>366</v>
      </c>
      <c r="E495" s="16" t="s">
        <v>299</v>
      </c>
      <c r="F495" s="17">
        <f>F496</f>
        <v>10000</v>
      </c>
      <c r="G495" s="17">
        <f>G496</f>
        <v>0</v>
      </c>
      <c r="H495" s="17">
        <f>H496</f>
        <v>0</v>
      </c>
    </row>
    <row r="496" spans="1:8" outlineLevel="5">
      <c r="A496" s="15" t="s">
        <v>300</v>
      </c>
      <c r="B496" s="16" t="s">
        <v>289</v>
      </c>
      <c r="C496" s="16" t="s">
        <v>289</v>
      </c>
      <c r="D496" s="16" t="s">
        <v>366</v>
      </c>
      <c r="E496" s="16" t="s">
        <v>301</v>
      </c>
      <c r="F496" s="17">
        <v>10000</v>
      </c>
      <c r="G496" s="17">
        <v>0</v>
      </c>
      <c r="H496" s="17">
        <v>0</v>
      </c>
    </row>
    <row r="497" spans="1:8" ht="47.25" outlineLevel="5">
      <c r="A497" s="22" t="s">
        <v>134</v>
      </c>
      <c r="B497" s="16" t="s">
        <v>289</v>
      </c>
      <c r="C497" s="16" t="s">
        <v>289</v>
      </c>
      <c r="D497" s="16" t="s">
        <v>135</v>
      </c>
      <c r="E497" s="16" t="s">
        <v>20</v>
      </c>
      <c r="F497" s="17">
        <f t="shared" ref="F497:H500" si="107">F498</f>
        <v>221000</v>
      </c>
      <c r="G497" s="17">
        <f t="shared" si="107"/>
        <v>241000</v>
      </c>
      <c r="H497" s="17">
        <f t="shared" si="107"/>
        <v>266000</v>
      </c>
    </row>
    <row r="498" spans="1:8" ht="47.25" outlineLevel="5">
      <c r="A498" s="22" t="s">
        <v>136</v>
      </c>
      <c r="B498" s="16" t="s">
        <v>289</v>
      </c>
      <c r="C498" s="16" t="s">
        <v>289</v>
      </c>
      <c r="D498" s="16" t="s">
        <v>137</v>
      </c>
      <c r="E498" s="16" t="s">
        <v>20</v>
      </c>
      <c r="F498" s="17">
        <f t="shared" si="107"/>
        <v>221000</v>
      </c>
      <c r="G498" s="17">
        <f t="shared" si="107"/>
        <v>241000</v>
      </c>
      <c r="H498" s="17">
        <f t="shared" si="107"/>
        <v>266000</v>
      </c>
    </row>
    <row r="499" spans="1:8" outlineLevel="5">
      <c r="A499" s="15" t="s">
        <v>367</v>
      </c>
      <c r="B499" s="16" t="s">
        <v>289</v>
      </c>
      <c r="C499" s="16" t="s">
        <v>289</v>
      </c>
      <c r="D499" s="16" t="s">
        <v>368</v>
      </c>
      <c r="E499" s="16" t="s">
        <v>20</v>
      </c>
      <c r="F499" s="17">
        <f t="shared" si="107"/>
        <v>221000</v>
      </c>
      <c r="G499" s="17">
        <f t="shared" si="107"/>
        <v>241000</v>
      </c>
      <c r="H499" s="17">
        <f t="shared" si="107"/>
        <v>266000</v>
      </c>
    </row>
    <row r="500" spans="1:8" ht="31.5" outlineLevel="5">
      <c r="A500" s="15" t="s">
        <v>37</v>
      </c>
      <c r="B500" s="16" t="s">
        <v>289</v>
      </c>
      <c r="C500" s="16" t="s">
        <v>289</v>
      </c>
      <c r="D500" s="16" t="s">
        <v>368</v>
      </c>
      <c r="E500" s="16" t="s">
        <v>38</v>
      </c>
      <c r="F500" s="17">
        <f t="shared" si="107"/>
        <v>221000</v>
      </c>
      <c r="G500" s="17">
        <f t="shared" si="107"/>
        <v>241000</v>
      </c>
      <c r="H500" s="17">
        <f t="shared" si="107"/>
        <v>266000</v>
      </c>
    </row>
    <row r="501" spans="1:8" ht="31.5" outlineLevel="5">
      <c r="A501" s="15" t="s">
        <v>39</v>
      </c>
      <c r="B501" s="16" t="s">
        <v>289</v>
      </c>
      <c r="C501" s="16" t="s">
        <v>289</v>
      </c>
      <c r="D501" s="16" t="s">
        <v>368</v>
      </c>
      <c r="E501" s="16" t="s">
        <v>40</v>
      </c>
      <c r="F501" s="17">
        <v>221000</v>
      </c>
      <c r="G501" s="17">
        <v>241000</v>
      </c>
      <c r="H501" s="17">
        <v>266000</v>
      </c>
    </row>
    <row r="502" spans="1:8" outlineLevel="1">
      <c r="A502" s="15" t="s">
        <v>369</v>
      </c>
      <c r="B502" s="16" t="s">
        <v>289</v>
      </c>
      <c r="C502" s="16" t="s">
        <v>205</v>
      </c>
      <c r="D502" s="16" t="s">
        <v>19</v>
      </c>
      <c r="E502" s="16" t="s">
        <v>20</v>
      </c>
      <c r="F502" s="17">
        <f>F503+F528+F533</f>
        <v>49537798.399999999</v>
      </c>
      <c r="G502" s="17">
        <f>G503+G528</f>
        <v>41732350</v>
      </c>
      <c r="H502" s="17">
        <f>H503+H528</f>
        <v>43018334</v>
      </c>
    </row>
    <row r="503" spans="1:8" ht="31.5" outlineLevel="1">
      <c r="A503" s="15" t="s">
        <v>291</v>
      </c>
      <c r="B503" s="16" t="s">
        <v>289</v>
      </c>
      <c r="C503" s="16" t="s">
        <v>205</v>
      </c>
      <c r="D503" s="16" t="s">
        <v>292</v>
      </c>
      <c r="E503" s="16" t="s">
        <v>20</v>
      </c>
      <c r="F503" s="17">
        <f>F504+F519</f>
        <v>49119665.399999999</v>
      </c>
      <c r="G503" s="17">
        <f>G504+G519+G533</f>
        <v>41346302</v>
      </c>
      <c r="H503" s="17">
        <f>H504+H519+H533</f>
        <v>42593682</v>
      </c>
    </row>
    <row r="504" spans="1:8" ht="31.5" outlineLevel="1">
      <c r="A504" s="15" t="s">
        <v>334</v>
      </c>
      <c r="B504" s="16" t="s">
        <v>289</v>
      </c>
      <c r="C504" s="16" t="s">
        <v>205</v>
      </c>
      <c r="D504" s="16" t="s">
        <v>335</v>
      </c>
      <c r="E504" s="16" t="s">
        <v>20</v>
      </c>
      <c r="F504" s="17">
        <f>F505+F508+F513+F516</f>
        <v>12768265.4</v>
      </c>
      <c r="G504" s="17">
        <f>G505+G508+G513+G516</f>
        <v>3860042</v>
      </c>
      <c r="H504" s="17">
        <f>H505+H508+H513+H516</f>
        <v>3860042</v>
      </c>
    </row>
    <row r="505" spans="1:8" outlineLevel="1">
      <c r="A505" s="15" t="s">
        <v>370</v>
      </c>
      <c r="B505" s="16" t="s">
        <v>289</v>
      </c>
      <c r="C505" s="16" t="s">
        <v>205</v>
      </c>
      <c r="D505" s="16" t="s">
        <v>371</v>
      </c>
      <c r="E505" s="16" t="s">
        <v>20</v>
      </c>
      <c r="F505" s="17">
        <f t="shared" ref="F505:H506" si="108">F506</f>
        <v>1500000</v>
      </c>
      <c r="G505" s="17">
        <f t="shared" si="108"/>
        <v>1500000</v>
      </c>
      <c r="H505" s="17">
        <f t="shared" si="108"/>
        <v>1500000</v>
      </c>
    </row>
    <row r="506" spans="1:8" ht="31.5" outlineLevel="1">
      <c r="A506" s="15" t="s">
        <v>298</v>
      </c>
      <c r="B506" s="16" t="s">
        <v>289</v>
      </c>
      <c r="C506" s="16" t="s">
        <v>205</v>
      </c>
      <c r="D506" s="16" t="s">
        <v>371</v>
      </c>
      <c r="E506" s="16" t="s">
        <v>299</v>
      </c>
      <c r="F506" s="17">
        <f t="shared" si="108"/>
        <v>1500000</v>
      </c>
      <c r="G506" s="17">
        <f t="shared" si="108"/>
        <v>1500000</v>
      </c>
      <c r="H506" s="17">
        <f t="shared" si="108"/>
        <v>1500000</v>
      </c>
    </row>
    <row r="507" spans="1:8" outlineLevel="1">
      <c r="A507" s="15" t="s">
        <v>300</v>
      </c>
      <c r="B507" s="16" t="s">
        <v>289</v>
      </c>
      <c r="C507" s="16" t="s">
        <v>205</v>
      </c>
      <c r="D507" s="16" t="s">
        <v>371</v>
      </c>
      <c r="E507" s="16" t="s">
        <v>301</v>
      </c>
      <c r="F507" s="17">
        <v>1500000</v>
      </c>
      <c r="G507" s="17">
        <v>1500000</v>
      </c>
      <c r="H507" s="17">
        <v>1500000</v>
      </c>
    </row>
    <row r="508" spans="1:8" ht="31.5" outlineLevel="1">
      <c r="A508" s="15" t="s">
        <v>372</v>
      </c>
      <c r="B508" s="16" t="s">
        <v>289</v>
      </c>
      <c r="C508" s="16" t="s">
        <v>205</v>
      </c>
      <c r="D508" s="16" t="s">
        <v>373</v>
      </c>
      <c r="E508" s="16" t="s">
        <v>20</v>
      </c>
      <c r="F508" s="17">
        <f>F509+F511</f>
        <v>8824365.4000000004</v>
      </c>
      <c r="G508" s="17">
        <f>G509+G511</f>
        <v>1136142</v>
      </c>
      <c r="H508" s="17">
        <f>H509+H511</f>
        <v>1136142</v>
      </c>
    </row>
    <row r="509" spans="1:8" outlineLevel="1">
      <c r="A509" s="15" t="s">
        <v>41</v>
      </c>
      <c r="B509" s="16" t="s">
        <v>289</v>
      </c>
      <c r="C509" s="16" t="s">
        <v>205</v>
      </c>
      <c r="D509" s="16" t="s">
        <v>373</v>
      </c>
      <c r="E509" s="16" t="s">
        <v>42</v>
      </c>
      <c r="F509" s="17">
        <f>F510</f>
        <v>800000</v>
      </c>
      <c r="G509" s="17">
        <f>G510</f>
        <v>500000</v>
      </c>
      <c r="H509" s="17">
        <f>H510</f>
        <v>500000</v>
      </c>
    </row>
    <row r="510" spans="1:8" ht="31.5" outlineLevel="1">
      <c r="A510" s="15" t="s">
        <v>330</v>
      </c>
      <c r="B510" s="16" t="s">
        <v>289</v>
      </c>
      <c r="C510" s="16" t="s">
        <v>205</v>
      </c>
      <c r="D510" s="16" t="s">
        <v>373</v>
      </c>
      <c r="E510" s="16" t="s">
        <v>331</v>
      </c>
      <c r="F510" s="17">
        <v>800000</v>
      </c>
      <c r="G510" s="17">
        <v>500000</v>
      </c>
      <c r="H510" s="17">
        <v>500000</v>
      </c>
    </row>
    <row r="511" spans="1:8" ht="31.5" outlineLevel="1">
      <c r="A511" s="15" t="s">
        <v>298</v>
      </c>
      <c r="B511" s="16" t="s">
        <v>289</v>
      </c>
      <c r="C511" s="16" t="s">
        <v>205</v>
      </c>
      <c r="D511" s="16" t="s">
        <v>373</v>
      </c>
      <c r="E511" s="16" t="s">
        <v>299</v>
      </c>
      <c r="F511" s="17">
        <f>F512</f>
        <v>8024365.4000000004</v>
      </c>
      <c r="G511" s="17">
        <f>G512</f>
        <v>636142</v>
      </c>
      <c r="H511" s="17">
        <f>H512</f>
        <v>636142</v>
      </c>
    </row>
    <row r="512" spans="1:8" outlineLevel="1">
      <c r="A512" s="15" t="s">
        <v>300</v>
      </c>
      <c r="B512" s="16" t="s">
        <v>289</v>
      </c>
      <c r="C512" s="16" t="s">
        <v>205</v>
      </c>
      <c r="D512" s="16" t="s">
        <v>373</v>
      </c>
      <c r="E512" s="16" t="s">
        <v>301</v>
      </c>
      <c r="F512" s="17">
        <v>8024365.4000000004</v>
      </c>
      <c r="G512" s="17">
        <v>636142</v>
      </c>
      <c r="H512" s="17">
        <v>636142</v>
      </c>
    </row>
    <row r="513" spans="1:8" ht="47.25" outlineLevel="1">
      <c r="A513" s="15" t="s">
        <v>374</v>
      </c>
      <c r="B513" s="16" t="s">
        <v>289</v>
      </c>
      <c r="C513" s="16" t="s">
        <v>205</v>
      </c>
      <c r="D513" s="16" t="s">
        <v>375</v>
      </c>
      <c r="E513" s="16" t="s">
        <v>20</v>
      </c>
      <c r="F513" s="17">
        <f t="shared" ref="F513:H514" si="109">F514</f>
        <v>1223900</v>
      </c>
      <c r="G513" s="17">
        <f t="shared" si="109"/>
        <v>1223900</v>
      </c>
      <c r="H513" s="17">
        <f t="shared" si="109"/>
        <v>1223900</v>
      </c>
    </row>
    <row r="514" spans="1:8" ht="31.5" outlineLevel="1">
      <c r="A514" s="15" t="s">
        <v>298</v>
      </c>
      <c r="B514" s="16" t="s">
        <v>289</v>
      </c>
      <c r="C514" s="16" t="s">
        <v>205</v>
      </c>
      <c r="D514" s="16" t="s">
        <v>375</v>
      </c>
      <c r="E514" s="16" t="s">
        <v>299</v>
      </c>
      <c r="F514" s="17">
        <f t="shared" si="109"/>
        <v>1223900</v>
      </c>
      <c r="G514" s="17">
        <f t="shared" si="109"/>
        <v>1223900</v>
      </c>
      <c r="H514" s="17">
        <f t="shared" si="109"/>
        <v>1223900</v>
      </c>
    </row>
    <row r="515" spans="1:8" outlineLevel="1">
      <c r="A515" s="15" t="s">
        <v>300</v>
      </c>
      <c r="B515" s="16" t="s">
        <v>289</v>
      </c>
      <c r="C515" s="16" t="s">
        <v>205</v>
      </c>
      <c r="D515" s="16" t="s">
        <v>375</v>
      </c>
      <c r="E515" s="16" t="s">
        <v>301</v>
      </c>
      <c r="F515" s="17">
        <v>1223900</v>
      </c>
      <c r="G515" s="17">
        <v>1223900</v>
      </c>
      <c r="H515" s="17">
        <v>1223900</v>
      </c>
    </row>
    <row r="516" spans="1:8" ht="63" outlineLevel="1">
      <c r="A516" s="29" t="s">
        <v>376</v>
      </c>
      <c r="B516" s="41" t="s">
        <v>289</v>
      </c>
      <c r="C516" s="41" t="s">
        <v>205</v>
      </c>
      <c r="D516" s="31" t="s">
        <v>377</v>
      </c>
      <c r="E516" s="31" t="s">
        <v>20</v>
      </c>
      <c r="F516" s="42">
        <f t="shared" ref="F516:H517" si="110">F517</f>
        <v>1220000</v>
      </c>
      <c r="G516" s="42">
        <f t="shared" si="110"/>
        <v>0</v>
      </c>
      <c r="H516" s="42">
        <f t="shared" si="110"/>
        <v>0</v>
      </c>
    </row>
    <row r="517" spans="1:8" ht="31.5" outlineLevel="1">
      <c r="A517" s="29" t="s">
        <v>298</v>
      </c>
      <c r="B517" s="41" t="s">
        <v>289</v>
      </c>
      <c r="C517" s="41" t="s">
        <v>205</v>
      </c>
      <c r="D517" s="31" t="s">
        <v>377</v>
      </c>
      <c r="E517" s="31" t="s">
        <v>299</v>
      </c>
      <c r="F517" s="42">
        <f t="shared" si="110"/>
        <v>1220000</v>
      </c>
      <c r="G517" s="42">
        <f t="shared" si="110"/>
        <v>0</v>
      </c>
      <c r="H517" s="42">
        <f t="shared" si="110"/>
        <v>0</v>
      </c>
    </row>
    <row r="518" spans="1:8" outlineLevel="1">
      <c r="A518" s="29" t="s">
        <v>300</v>
      </c>
      <c r="B518" s="41" t="s">
        <v>289</v>
      </c>
      <c r="C518" s="41" t="s">
        <v>205</v>
      </c>
      <c r="D518" s="31" t="s">
        <v>377</v>
      </c>
      <c r="E518" s="31" t="s">
        <v>301</v>
      </c>
      <c r="F518" s="42">
        <v>1220000</v>
      </c>
      <c r="G518" s="42">
        <v>0</v>
      </c>
      <c r="H518" s="42">
        <v>0</v>
      </c>
    </row>
    <row r="519" spans="1:8" ht="31.5" outlineLevel="1">
      <c r="A519" s="15" t="s">
        <v>378</v>
      </c>
      <c r="B519" s="16" t="s">
        <v>289</v>
      </c>
      <c r="C519" s="16" t="s">
        <v>205</v>
      </c>
      <c r="D519" s="16" t="s">
        <v>379</v>
      </c>
      <c r="E519" s="16" t="s">
        <v>20</v>
      </c>
      <c r="F519" s="17">
        <f t="shared" ref="F519:H520" si="111">F520</f>
        <v>36351400</v>
      </c>
      <c r="G519" s="17">
        <f t="shared" si="111"/>
        <v>37486260</v>
      </c>
      <c r="H519" s="17">
        <f t="shared" si="111"/>
        <v>38733640</v>
      </c>
    </row>
    <row r="520" spans="1:8" ht="31.5" outlineLevel="1">
      <c r="A520" s="15" t="s">
        <v>112</v>
      </c>
      <c r="B520" s="16" t="s">
        <v>289</v>
      </c>
      <c r="C520" s="16" t="s">
        <v>205</v>
      </c>
      <c r="D520" s="16" t="s">
        <v>380</v>
      </c>
      <c r="E520" s="16" t="s">
        <v>20</v>
      </c>
      <c r="F520" s="17">
        <f t="shared" si="111"/>
        <v>36351400</v>
      </c>
      <c r="G520" s="17">
        <f t="shared" si="111"/>
        <v>37486260</v>
      </c>
      <c r="H520" s="17">
        <f t="shared" si="111"/>
        <v>38733640</v>
      </c>
    </row>
    <row r="521" spans="1:8" ht="63" outlineLevel="2">
      <c r="A521" s="15" t="s">
        <v>381</v>
      </c>
      <c r="B521" s="16" t="s">
        <v>289</v>
      </c>
      <c r="C521" s="16" t="s">
        <v>205</v>
      </c>
      <c r="D521" s="16" t="s">
        <v>382</v>
      </c>
      <c r="E521" s="16" t="s">
        <v>20</v>
      </c>
      <c r="F521" s="17">
        <f>F522+F524+F526</f>
        <v>36351400</v>
      </c>
      <c r="G521" s="17">
        <f>G522+G524+G526</f>
        <v>37486260</v>
      </c>
      <c r="H521" s="17">
        <f>H522+H524+H526</f>
        <v>38733640</v>
      </c>
    </row>
    <row r="522" spans="1:8" ht="63" outlineLevel="3">
      <c r="A522" s="15" t="s">
        <v>29</v>
      </c>
      <c r="B522" s="16" t="s">
        <v>289</v>
      </c>
      <c r="C522" s="16" t="s">
        <v>205</v>
      </c>
      <c r="D522" s="16" t="s">
        <v>382</v>
      </c>
      <c r="E522" s="16" t="s">
        <v>30</v>
      </c>
      <c r="F522" s="17">
        <f>F523</f>
        <v>30060000</v>
      </c>
      <c r="G522" s="17">
        <f>G523</f>
        <v>31264460</v>
      </c>
      <c r="H522" s="17">
        <f>H523</f>
        <v>32511840</v>
      </c>
    </row>
    <row r="523" spans="1:8" outlineLevel="5">
      <c r="A523" s="15" t="s">
        <v>88</v>
      </c>
      <c r="B523" s="16" t="s">
        <v>289</v>
      </c>
      <c r="C523" s="16" t="s">
        <v>205</v>
      </c>
      <c r="D523" s="16" t="s">
        <v>382</v>
      </c>
      <c r="E523" s="16" t="s">
        <v>89</v>
      </c>
      <c r="F523" s="17">
        <v>30060000</v>
      </c>
      <c r="G523" s="17">
        <v>31264460</v>
      </c>
      <c r="H523" s="17">
        <v>32511840</v>
      </c>
    </row>
    <row r="524" spans="1:8" ht="31.5" outlineLevel="5">
      <c r="A524" s="52" t="s">
        <v>37</v>
      </c>
      <c r="B524" s="53" t="s">
        <v>289</v>
      </c>
      <c r="C524" s="53" t="s">
        <v>205</v>
      </c>
      <c r="D524" s="53" t="s">
        <v>382</v>
      </c>
      <c r="E524" s="53" t="s">
        <v>38</v>
      </c>
      <c r="F524" s="56">
        <f>F525</f>
        <v>5661400</v>
      </c>
      <c r="G524" s="17">
        <f>G525</f>
        <v>5591800</v>
      </c>
      <c r="H524" s="17">
        <f>H525</f>
        <v>5591800</v>
      </c>
    </row>
    <row r="525" spans="1:8" ht="31.5" outlineLevel="5">
      <c r="A525" s="52" t="s">
        <v>39</v>
      </c>
      <c r="B525" s="53" t="s">
        <v>289</v>
      </c>
      <c r="C525" s="53" t="s">
        <v>205</v>
      </c>
      <c r="D525" s="53" t="s">
        <v>382</v>
      </c>
      <c r="E525" s="53" t="s">
        <v>40</v>
      </c>
      <c r="F525" s="56">
        <f>5591800+69600</f>
        <v>5661400</v>
      </c>
      <c r="G525" s="17">
        <v>5591800</v>
      </c>
      <c r="H525" s="17">
        <v>5591800</v>
      </c>
    </row>
    <row r="526" spans="1:8" outlineLevel="5">
      <c r="A526" s="15" t="s">
        <v>45</v>
      </c>
      <c r="B526" s="16" t="s">
        <v>289</v>
      </c>
      <c r="C526" s="16" t="s">
        <v>205</v>
      </c>
      <c r="D526" s="16" t="s">
        <v>382</v>
      </c>
      <c r="E526" s="16" t="s">
        <v>46</v>
      </c>
      <c r="F526" s="17">
        <f>F527</f>
        <v>630000</v>
      </c>
      <c r="G526" s="17">
        <f>G527</f>
        <v>630000</v>
      </c>
      <c r="H526" s="17">
        <f>H527</f>
        <v>630000</v>
      </c>
    </row>
    <row r="527" spans="1:8" outlineLevel="5">
      <c r="A527" s="15" t="s">
        <v>47</v>
      </c>
      <c r="B527" s="16" t="s">
        <v>289</v>
      </c>
      <c r="C527" s="16" t="s">
        <v>205</v>
      </c>
      <c r="D527" s="16" t="s">
        <v>382</v>
      </c>
      <c r="E527" s="16" t="s">
        <v>48</v>
      </c>
      <c r="F527" s="17">
        <v>630000</v>
      </c>
      <c r="G527" s="17">
        <v>630000</v>
      </c>
      <c r="H527" s="17">
        <v>630000</v>
      </c>
    </row>
    <row r="528" spans="1:8" ht="31.5" outlineLevel="5">
      <c r="A528" s="15" t="s">
        <v>261</v>
      </c>
      <c r="B528" s="16" t="s">
        <v>289</v>
      </c>
      <c r="C528" s="16" t="s">
        <v>205</v>
      </c>
      <c r="D528" s="16" t="s">
        <v>262</v>
      </c>
      <c r="E528" s="16" t="s">
        <v>20</v>
      </c>
      <c r="F528" s="17">
        <f t="shared" ref="F528:H531" si="112">F529</f>
        <v>368133</v>
      </c>
      <c r="G528" s="17">
        <f t="shared" si="112"/>
        <v>386048</v>
      </c>
      <c r="H528" s="17">
        <f t="shared" si="112"/>
        <v>424652</v>
      </c>
    </row>
    <row r="529" spans="1:8" ht="47.25" outlineLevel="5">
      <c r="A529" s="15" t="s">
        <v>383</v>
      </c>
      <c r="B529" s="16" t="s">
        <v>289</v>
      </c>
      <c r="C529" s="16" t="s">
        <v>205</v>
      </c>
      <c r="D529" s="16" t="s">
        <v>384</v>
      </c>
      <c r="E529" s="16" t="s">
        <v>20</v>
      </c>
      <c r="F529" s="17">
        <f t="shared" si="112"/>
        <v>368133</v>
      </c>
      <c r="G529" s="17">
        <f t="shared" si="112"/>
        <v>386048</v>
      </c>
      <c r="H529" s="17">
        <f t="shared" si="112"/>
        <v>424652</v>
      </c>
    </row>
    <row r="530" spans="1:8" ht="47.25" outlineLevel="5">
      <c r="A530" s="15" t="s">
        <v>374</v>
      </c>
      <c r="B530" s="16" t="s">
        <v>289</v>
      </c>
      <c r="C530" s="16" t="s">
        <v>205</v>
      </c>
      <c r="D530" s="16" t="s">
        <v>385</v>
      </c>
      <c r="E530" s="16" t="s">
        <v>20</v>
      </c>
      <c r="F530" s="17">
        <f t="shared" si="112"/>
        <v>368133</v>
      </c>
      <c r="G530" s="17">
        <f t="shared" si="112"/>
        <v>386048</v>
      </c>
      <c r="H530" s="17">
        <f t="shared" si="112"/>
        <v>424652</v>
      </c>
    </row>
    <row r="531" spans="1:8" outlineLevel="5">
      <c r="A531" s="15" t="s">
        <v>41</v>
      </c>
      <c r="B531" s="16" t="s">
        <v>289</v>
      </c>
      <c r="C531" s="16" t="s">
        <v>205</v>
      </c>
      <c r="D531" s="16" t="s">
        <v>385</v>
      </c>
      <c r="E531" s="16" t="s">
        <v>42</v>
      </c>
      <c r="F531" s="17">
        <f t="shared" si="112"/>
        <v>368133</v>
      </c>
      <c r="G531" s="17">
        <f t="shared" si="112"/>
        <v>386048</v>
      </c>
      <c r="H531" s="17">
        <f t="shared" si="112"/>
        <v>424652</v>
      </c>
    </row>
    <row r="532" spans="1:8" outlineLevel="5">
      <c r="A532" s="15" t="s">
        <v>386</v>
      </c>
      <c r="B532" s="16" t="s">
        <v>289</v>
      </c>
      <c r="C532" s="16" t="s">
        <v>205</v>
      </c>
      <c r="D532" s="16" t="s">
        <v>385</v>
      </c>
      <c r="E532" s="16" t="s">
        <v>387</v>
      </c>
      <c r="F532" s="17">
        <v>368133</v>
      </c>
      <c r="G532" s="17">
        <v>386048</v>
      </c>
      <c r="H532" s="17">
        <v>424652</v>
      </c>
    </row>
    <row r="533" spans="1:8" ht="47.25" outlineLevel="5">
      <c r="A533" s="15" t="s">
        <v>310</v>
      </c>
      <c r="B533" s="16" t="s">
        <v>289</v>
      </c>
      <c r="C533" s="16" t="s">
        <v>205</v>
      </c>
      <c r="D533" s="16" t="s">
        <v>311</v>
      </c>
      <c r="E533" s="16" t="s">
        <v>20</v>
      </c>
      <c r="F533" s="17">
        <f t="shared" ref="F533:H536" si="113">F534</f>
        <v>50000</v>
      </c>
      <c r="G533" s="17">
        <f t="shared" si="113"/>
        <v>0</v>
      </c>
      <c r="H533" s="17">
        <f t="shared" si="113"/>
        <v>0</v>
      </c>
    </row>
    <row r="534" spans="1:8" ht="47.25" outlineLevel="5">
      <c r="A534" s="15" t="s">
        <v>312</v>
      </c>
      <c r="B534" s="16" t="s">
        <v>289</v>
      </c>
      <c r="C534" s="16" t="s">
        <v>205</v>
      </c>
      <c r="D534" s="16" t="s">
        <v>313</v>
      </c>
      <c r="E534" s="16" t="s">
        <v>20</v>
      </c>
      <c r="F534" s="17">
        <f t="shared" si="113"/>
        <v>50000</v>
      </c>
      <c r="G534" s="17">
        <f t="shared" si="113"/>
        <v>0</v>
      </c>
      <c r="H534" s="17">
        <f t="shared" si="113"/>
        <v>0</v>
      </c>
    </row>
    <row r="535" spans="1:8" outlineLevel="5">
      <c r="A535" s="15" t="s">
        <v>314</v>
      </c>
      <c r="B535" s="16" t="s">
        <v>289</v>
      </c>
      <c r="C535" s="16" t="s">
        <v>205</v>
      </c>
      <c r="D535" s="16" t="s">
        <v>315</v>
      </c>
      <c r="E535" s="16" t="s">
        <v>20</v>
      </c>
      <c r="F535" s="17">
        <f t="shared" si="113"/>
        <v>50000</v>
      </c>
      <c r="G535" s="17">
        <f t="shared" si="113"/>
        <v>0</v>
      </c>
      <c r="H535" s="17">
        <f t="shared" si="113"/>
        <v>0</v>
      </c>
    </row>
    <row r="536" spans="1:8" ht="31.5" outlineLevel="5">
      <c r="A536" s="15" t="s">
        <v>37</v>
      </c>
      <c r="B536" s="16" t="s">
        <v>289</v>
      </c>
      <c r="C536" s="16" t="s">
        <v>205</v>
      </c>
      <c r="D536" s="16" t="s">
        <v>315</v>
      </c>
      <c r="E536" s="16" t="s">
        <v>38</v>
      </c>
      <c r="F536" s="17">
        <f t="shared" si="113"/>
        <v>50000</v>
      </c>
      <c r="G536" s="17">
        <f t="shared" si="113"/>
        <v>0</v>
      </c>
      <c r="H536" s="17">
        <f t="shared" si="113"/>
        <v>0</v>
      </c>
    </row>
    <row r="537" spans="1:8" ht="31.5" outlineLevel="5">
      <c r="A537" s="15" t="s">
        <v>39</v>
      </c>
      <c r="B537" s="16" t="s">
        <v>289</v>
      </c>
      <c r="C537" s="16" t="s">
        <v>205</v>
      </c>
      <c r="D537" s="16" t="s">
        <v>315</v>
      </c>
      <c r="E537" s="16" t="s">
        <v>40</v>
      </c>
      <c r="F537" s="17">
        <v>50000</v>
      </c>
      <c r="G537" s="17">
        <v>0</v>
      </c>
      <c r="H537" s="17">
        <v>0</v>
      </c>
    </row>
    <row r="538" spans="1:8" s="14" customFormat="1">
      <c r="A538" s="46" t="s">
        <v>388</v>
      </c>
      <c r="B538" s="12" t="s">
        <v>195</v>
      </c>
      <c r="C538" s="12" t="s">
        <v>18</v>
      </c>
      <c r="D538" s="12" t="s">
        <v>19</v>
      </c>
      <c r="E538" s="12" t="s">
        <v>20</v>
      </c>
      <c r="F538" s="13">
        <f>F539+F575</f>
        <v>140847622.91000003</v>
      </c>
      <c r="G538" s="13">
        <f>G539+G575</f>
        <v>142797499.66000003</v>
      </c>
      <c r="H538" s="13">
        <f>H539+H575</f>
        <v>149211536.99000001</v>
      </c>
    </row>
    <row r="539" spans="1:8" outlineLevel="1">
      <c r="A539" s="15" t="s">
        <v>389</v>
      </c>
      <c r="B539" s="16" t="s">
        <v>195</v>
      </c>
      <c r="C539" s="16" t="s">
        <v>17</v>
      </c>
      <c r="D539" s="16" t="s">
        <v>19</v>
      </c>
      <c r="E539" s="16" t="s">
        <v>20</v>
      </c>
      <c r="F539" s="17">
        <f>F540+F570</f>
        <v>86374222.910000011</v>
      </c>
      <c r="G539" s="17">
        <f>G540+G570</f>
        <v>87527275.660000011</v>
      </c>
      <c r="H539" s="17">
        <f>H540+H570</f>
        <v>93409936.989999995</v>
      </c>
    </row>
    <row r="540" spans="1:8" ht="31.5" outlineLevel="1">
      <c r="A540" s="15" t="s">
        <v>261</v>
      </c>
      <c r="B540" s="16" t="s">
        <v>195</v>
      </c>
      <c r="C540" s="16" t="s">
        <v>17</v>
      </c>
      <c r="D540" s="16" t="s">
        <v>262</v>
      </c>
      <c r="E540" s="16" t="s">
        <v>20</v>
      </c>
      <c r="F540" s="19">
        <f>F541</f>
        <v>86352222.910000011</v>
      </c>
      <c r="G540" s="19">
        <f>G541</f>
        <v>87505275.660000011</v>
      </c>
      <c r="H540" s="19">
        <f>H541</f>
        <v>93409936.989999995</v>
      </c>
    </row>
    <row r="541" spans="1:8" ht="31.5" outlineLevel="1">
      <c r="A541" s="15" t="s">
        <v>390</v>
      </c>
      <c r="B541" s="16" t="s">
        <v>195</v>
      </c>
      <c r="C541" s="16" t="s">
        <v>17</v>
      </c>
      <c r="D541" s="16" t="s">
        <v>391</v>
      </c>
      <c r="E541" s="16" t="s">
        <v>20</v>
      </c>
      <c r="F541" s="17">
        <f>F542+F564+F567</f>
        <v>86352222.910000011</v>
      </c>
      <c r="G541" s="17">
        <f>G542+G564+G567</f>
        <v>87505275.660000011</v>
      </c>
      <c r="H541" s="17">
        <f>H542+H564+H567</f>
        <v>93409936.989999995</v>
      </c>
    </row>
    <row r="542" spans="1:8" ht="31.5" outlineLevel="1">
      <c r="A542" s="15" t="s">
        <v>112</v>
      </c>
      <c r="B542" s="16" t="s">
        <v>195</v>
      </c>
      <c r="C542" s="16" t="s">
        <v>17</v>
      </c>
      <c r="D542" s="16" t="s">
        <v>392</v>
      </c>
      <c r="E542" s="16" t="s">
        <v>20</v>
      </c>
      <c r="F542" s="17">
        <f>F543+F550+F557</f>
        <v>84507949.960000008</v>
      </c>
      <c r="G542" s="17">
        <f>G543+G550+G557</f>
        <v>85658306.010000005</v>
      </c>
      <c r="H542" s="17">
        <f>H543+H550+H557</f>
        <v>91497853.00999999</v>
      </c>
    </row>
    <row r="543" spans="1:8" outlineLevel="1">
      <c r="A543" s="15" t="s">
        <v>393</v>
      </c>
      <c r="B543" s="16" t="s">
        <v>195</v>
      </c>
      <c r="C543" s="16" t="s">
        <v>17</v>
      </c>
      <c r="D543" s="16" t="s">
        <v>394</v>
      </c>
      <c r="E543" s="16" t="s">
        <v>20</v>
      </c>
      <c r="F543" s="17">
        <f>F544+F546+F548</f>
        <v>56656986.969999999</v>
      </c>
      <c r="G543" s="17">
        <f>G544+G546+G548</f>
        <v>57528134.32</v>
      </c>
      <c r="H543" s="17">
        <f>H544+H546+H548</f>
        <v>61424200.75</v>
      </c>
    </row>
    <row r="544" spans="1:8" ht="63" outlineLevel="1">
      <c r="A544" s="15" t="s">
        <v>29</v>
      </c>
      <c r="B544" s="16" t="s">
        <v>195</v>
      </c>
      <c r="C544" s="16" t="s">
        <v>17</v>
      </c>
      <c r="D544" s="16" t="s">
        <v>394</v>
      </c>
      <c r="E544" s="16" t="s">
        <v>30</v>
      </c>
      <c r="F544" s="17">
        <f>F545</f>
        <v>42800600</v>
      </c>
      <c r="G544" s="17">
        <f>G545</f>
        <v>46411134</v>
      </c>
      <c r="H544" s="17">
        <f>H545</f>
        <v>50307200</v>
      </c>
    </row>
    <row r="545" spans="1:8" outlineLevel="1">
      <c r="A545" s="15" t="s">
        <v>88</v>
      </c>
      <c r="B545" s="16" t="s">
        <v>195</v>
      </c>
      <c r="C545" s="16" t="s">
        <v>17</v>
      </c>
      <c r="D545" s="16" t="s">
        <v>394</v>
      </c>
      <c r="E545" s="16" t="s">
        <v>89</v>
      </c>
      <c r="F545" s="17">
        <v>42800600</v>
      </c>
      <c r="G545" s="17">
        <v>46411134</v>
      </c>
      <c r="H545" s="17">
        <v>50307200</v>
      </c>
    </row>
    <row r="546" spans="1:8" ht="31.5" outlineLevel="1">
      <c r="A546" s="52" t="s">
        <v>37</v>
      </c>
      <c r="B546" s="53" t="s">
        <v>195</v>
      </c>
      <c r="C546" s="53" t="s">
        <v>17</v>
      </c>
      <c r="D546" s="53" t="s">
        <v>394</v>
      </c>
      <c r="E546" s="53" t="s">
        <v>38</v>
      </c>
      <c r="F546" s="56">
        <f>F547</f>
        <v>12769386.970000001</v>
      </c>
      <c r="G546" s="17">
        <f>G547</f>
        <v>10030000.32</v>
      </c>
      <c r="H546" s="17">
        <f>H547</f>
        <v>10030000.75</v>
      </c>
    </row>
    <row r="547" spans="1:8" ht="31.5" outlineLevel="1">
      <c r="A547" s="52" t="s">
        <v>39</v>
      </c>
      <c r="B547" s="53" t="s">
        <v>195</v>
      </c>
      <c r="C547" s="53" t="s">
        <v>17</v>
      </c>
      <c r="D547" s="53" t="s">
        <v>394</v>
      </c>
      <c r="E547" s="53" t="s">
        <v>40</v>
      </c>
      <c r="F547" s="56">
        <f>10030000+0.97-262000+3001386</f>
        <v>12769386.970000001</v>
      </c>
      <c r="G547" s="17">
        <f>10030000+0.32</f>
        <v>10030000.32</v>
      </c>
      <c r="H547" s="17">
        <f>10030000+0.75</f>
        <v>10030000.75</v>
      </c>
    </row>
    <row r="548" spans="1:8" outlineLevel="1">
      <c r="A548" s="15" t="s">
        <v>45</v>
      </c>
      <c r="B548" s="16" t="s">
        <v>195</v>
      </c>
      <c r="C548" s="16" t="s">
        <v>17</v>
      </c>
      <c r="D548" s="16" t="s">
        <v>394</v>
      </c>
      <c r="E548" s="16" t="s">
        <v>46</v>
      </c>
      <c r="F548" s="17">
        <f>F549</f>
        <v>1087000</v>
      </c>
      <c r="G548" s="17">
        <f>G549</f>
        <v>1087000</v>
      </c>
      <c r="H548" s="17">
        <f>H549</f>
        <v>1087000</v>
      </c>
    </row>
    <row r="549" spans="1:8" outlineLevel="1">
      <c r="A549" s="15" t="s">
        <v>47</v>
      </c>
      <c r="B549" s="16" t="s">
        <v>195</v>
      </c>
      <c r="C549" s="16" t="s">
        <v>17</v>
      </c>
      <c r="D549" s="16" t="s">
        <v>394</v>
      </c>
      <c r="E549" s="16" t="s">
        <v>48</v>
      </c>
      <c r="F549" s="17">
        <v>1087000</v>
      </c>
      <c r="G549" s="17">
        <v>1087000</v>
      </c>
      <c r="H549" s="17">
        <v>1087000</v>
      </c>
    </row>
    <row r="550" spans="1:8" outlineLevel="1">
      <c r="A550" s="15" t="s">
        <v>395</v>
      </c>
      <c r="B550" s="16" t="s">
        <v>195</v>
      </c>
      <c r="C550" s="16" t="s">
        <v>17</v>
      </c>
      <c r="D550" s="16" t="s">
        <v>396</v>
      </c>
      <c r="E550" s="16" t="s">
        <v>20</v>
      </c>
      <c r="F550" s="17">
        <f>F551+F553+F555</f>
        <v>3798200</v>
      </c>
      <c r="G550" s="17">
        <f>G551+G553+G555</f>
        <v>4169600</v>
      </c>
      <c r="H550" s="17">
        <f>H551+H553+H555</f>
        <v>4985600</v>
      </c>
    </row>
    <row r="551" spans="1:8" ht="63" outlineLevel="1">
      <c r="A551" s="15" t="s">
        <v>29</v>
      </c>
      <c r="B551" s="16" t="s">
        <v>195</v>
      </c>
      <c r="C551" s="16" t="s">
        <v>17</v>
      </c>
      <c r="D551" s="16" t="s">
        <v>396</v>
      </c>
      <c r="E551" s="16" t="s">
        <v>30</v>
      </c>
      <c r="F551" s="17">
        <f>F552</f>
        <v>2999600</v>
      </c>
      <c r="G551" s="17">
        <f>G552</f>
        <v>3371000</v>
      </c>
      <c r="H551" s="17">
        <f>H552</f>
        <v>4187000</v>
      </c>
    </row>
    <row r="552" spans="1:8" outlineLevel="2">
      <c r="A552" s="15" t="s">
        <v>88</v>
      </c>
      <c r="B552" s="16" t="s">
        <v>195</v>
      </c>
      <c r="C552" s="16" t="s">
        <v>17</v>
      </c>
      <c r="D552" s="16" t="s">
        <v>396</v>
      </c>
      <c r="E552" s="16" t="s">
        <v>89</v>
      </c>
      <c r="F552" s="17">
        <v>2999600</v>
      </c>
      <c r="G552" s="17">
        <v>3371000</v>
      </c>
      <c r="H552" s="17">
        <v>4187000</v>
      </c>
    </row>
    <row r="553" spans="1:8" ht="31.5" outlineLevel="3">
      <c r="A553" s="15" t="s">
        <v>37</v>
      </c>
      <c r="B553" s="16" t="s">
        <v>195</v>
      </c>
      <c r="C553" s="16" t="s">
        <v>17</v>
      </c>
      <c r="D553" s="16" t="s">
        <v>396</v>
      </c>
      <c r="E553" s="16" t="s">
        <v>38</v>
      </c>
      <c r="F553" s="17">
        <f>F554</f>
        <v>778000</v>
      </c>
      <c r="G553" s="17">
        <f>G554</f>
        <v>778000</v>
      </c>
      <c r="H553" s="17">
        <f>H554</f>
        <v>778000</v>
      </c>
    </row>
    <row r="554" spans="1:8" ht="31.5" outlineLevel="5">
      <c r="A554" s="15" t="s">
        <v>39</v>
      </c>
      <c r="B554" s="16" t="s">
        <v>195</v>
      </c>
      <c r="C554" s="16" t="s">
        <v>17</v>
      </c>
      <c r="D554" s="16" t="s">
        <v>396</v>
      </c>
      <c r="E554" s="16" t="s">
        <v>40</v>
      </c>
      <c r="F554" s="17">
        <v>778000</v>
      </c>
      <c r="G554" s="17">
        <v>778000</v>
      </c>
      <c r="H554" s="17">
        <v>778000</v>
      </c>
    </row>
    <row r="555" spans="1:8" outlineLevel="5">
      <c r="A555" s="15" t="s">
        <v>45</v>
      </c>
      <c r="B555" s="16" t="s">
        <v>195</v>
      </c>
      <c r="C555" s="16" t="s">
        <v>17</v>
      </c>
      <c r="D555" s="16" t="s">
        <v>396</v>
      </c>
      <c r="E555" s="16" t="s">
        <v>46</v>
      </c>
      <c r="F555" s="17">
        <f>F556</f>
        <v>20600</v>
      </c>
      <c r="G555" s="17">
        <f>G556</f>
        <v>20600</v>
      </c>
      <c r="H555" s="17">
        <f>H556</f>
        <v>20600</v>
      </c>
    </row>
    <row r="556" spans="1:8" outlineLevel="5">
      <c r="A556" s="15" t="s">
        <v>47</v>
      </c>
      <c r="B556" s="16" t="s">
        <v>195</v>
      </c>
      <c r="C556" s="16" t="s">
        <v>17</v>
      </c>
      <c r="D556" s="16" t="s">
        <v>396</v>
      </c>
      <c r="E556" s="16" t="s">
        <v>48</v>
      </c>
      <c r="F556" s="17">
        <v>20600</v>
      </c>
      <c r="G556" s="17">
        <v>20600</v>
      </c>
      <c r="H556" s="17">
        <v>20600</v>
      </c>
    </row>
    <row r="557" spans="1:8" outlineLevel="5">
      <c r="A557" s="15" t="s">
        <v>397</v>
      </c>
      <c r="B557" s="16" t="s">
        <v>195</v>
      </c>
      <c r="C557" s="16" t="s">
        <v>17</v>
      </c>
      <c r="D557" s="16" t="s">
        <v>398</v>
      </c>
      <c r="E557" s="16" t="s">
        <v>20</v>
      </c>
      <c r="F557" s="19">
        <f>F558+F560+F562</f>
        <v>24052762.990000002</v>
      </c>
      <c r="G557" s="19">
        <f>G558+G560+G562</f>
        <v>23960571.690000001</v>
      </c>
      <c r="H557" s="19">
        <f>H558+H560+H562</f>
        <v>25088052.259999998</v>
      </c>
    </row>
    <row r="558" spans="1:8" ht="63" outlineLevel="5">
      <c r="A558" s="15" t="s">
        <v>29</v>
      </c>
      <c r="B558" s="16" t="s">
        <v>195</v>
      </c>
      <c r="C558" s="16" t="s">
        <v>17</v>
      </c>
      <c r="D558" s="16" t="s">
        <v>398</v>
      </c>
      <c r="E558" s="16" t="s">
        <v>30</v>
      </c>
      <c r="F558" s="19">
        <f>F559</f>
        <v>20588000</v>
      </c>
      <c r="G558" s="19">
        <f>G559</f>
        <v>21055166</v>
      </c>
      <c r="H558" s="19">
        <f>H559</f>
        <v>22184000</v>
      </c>
    </row>
    <row r="559" spans="1:8" outlineLevel="5">
      <c r="A559" s="15" t="s">
        <v>88</v>
      </c>
      <c r="B559" s="16" t="s">
        <v>195</v>
      </c>
      <c r="C559" s="16" t="s">
        <v>17</v>
      </c>
      <c r="D559" s="16" t="s">
        <v>398</v>
      </c>
      <c r="E559" s="16" t="s">
        <v>89</v>
      </c>
      <c r="F559" s="19">
        <v>20588000</v>
      </c>
      <c r="G559" s="19">
        <v>21055166</v>
      </c>
      <c r="H559" s="19">
        <v>22184000</v>
      </c>
    </row>
    <row r="560" spans="1:8" ht="31.5" outlineLevel="5">
      <c r="A560" s="52" t="s">
        <v>37</v>
      </c>
      <c r="B560" s="53" t="s">
        <v>195</v>
      </c>
      <c r="C560" s="53" t="s">
        <v>17</v>
      </c>
      <c r="D560" s="53" t="s">
        <v>398</v>
      </c>
      <c r="E560" s="53" t="s">
        <v>38</v>
      </c>
      <c r="F560" s="55">
        <f>F561</f>
        <v>3426762.99</v>
      </c>
      <c r="G560" s="55">
        <f>G561</f>
        <v>2867405.69</v>
      </c>
      <c r="H560" s="55">
        <f>H561</f>
        <v>2866052.26</v>
      </c>
    </row>
    <row r="561" spans="1:8" ht="31.5" outlineLevel="5">
      <c r="A561" s="52" t="s">
        <v>39</v>
      </c>
      <c r="B561" s="53" t="s">
        <v>195</v>
      </c>
      <c r="C561" s="53" t="s">
        <v>17</v>
      </c>
      <c r="D561" s="53" t="s">
        <v>398</v>
      </c>
      <c r="E561" s="53" t="s">
        <v>40</v>
      </c>
      <c r="F561" s="55">
        <f>2866500-314.21+560577.2</f>
        <v>3426762.99</v>
      </c>
      <c r="G561" s="55">
        <f>2866500+905.69</f>
        <v>2867405.69</v>
      </c>
      <c r="H561" s="55">
        <f>2866500-447.74</f>
        <v>2866052.26</v>
      </c>
    </row>
    <row r="562" spans="1:8" outlineLevel="5">
      <c r="A562" s="15" t="s">
        <v>45</v>
      </c>
      <c r="B562" s="16" t="s">
        <v>195</v>
      </c>
      <c r="C562" s="16" t="s">
        <v>17</v>
      </c>
      <c r="D562" s="16" t="s">
        <v>398</v>
      </c>
      <c r="E562" s="16" t="s">
        <v>46</v>
      </c>
      <c r="F562" s="19">
        <f>F563</f>
        <v>38000</v>
      </c>
      <c r="G562" s="19">
        <f>G563</f>
        <v>38000</v>
      </c>
      <c r="H562" s="19">
        <f>H563</f>
        <v>38000</v>
      </c>
    </row>
    <row r="563" spans="1:8" outlineLevel="5">
      <c r="A563" s="15" t="s">
        <v>47</v>
      </c>
      <c r="B563" s="16" t="s">
        <v>195</v>
      </c>
      <c r="C563" s="16" t="s">
        <v>17</v>
      </c>
      <c r="D563" s="16" t="s">
        <v>398</v>
      </c>
      <c r="E563" s="16" t="s">
        <v>48</v>
      </c>
      <c r="F563" s="19">
        <v>38000</v>
      </c>
      <c r="G563" s="19">
        <v>38000</v>
      </c>
      <c r="H563" s="19">
        <v>38000</v>
      </c>
    </row>
    <row r="564" spans="1:8" ht="63" outlineLevel="5">
      <c r="A564" s="52" t="s">
        <v>399</v>
      </c>
      <c r="B564" s="53" t="s">
        <v>195</v>
      </c>
      <c r="C564" s="53" t="s">
        <v>17</v>
      </c>
      <c r="D564" s="53" t="s">
        <v>400</v>
      </c>
      <c r="E564" s="53" t="s">
        <v>20</v>
      </c>
      <c r="F564" s="55">
        <f t="shared" ref="F564:H565" si="114">F565</f>
        <v>1671071.92</v>
      </c>
      <c r="G564" s="55">
        <f t="shared" si="114"/>
        <v>1673768.62</v>
      </c>
      <c r="H564" s="55">
        <f t="shared" si="114"/>
        <v>1738882.95</v>
      </c>
    </row>
    <row r="565" spans="1:8" ht="31.5" outlineLevel="5">
      <c r="A565" s="52" t="s">
        <v>37</v>
      </c>
      <c r="B565" s="53" t="s">
        <v>195</v>
      </c>
      <c r="C565" s="53" t="s">
        <v>17</v>
      </c>
      <c r="D565" s="53" t="s">
        <v>400</v>
      </c>
      <c r="E565" s="53" t="s">
        <v>38</v>
      </c>
      <c r="F565" s="55">
        <f t="shared" si="114"/>
        <v>1671071.92</v>
      </c>
      <c r="G565" s="55">
        <f t="shared" si="114"/>
        <v>1673768.62</v>
      </c>
      <c r="H565" s="55">
        <f t="shared" si="114"/>
        <v>1738882.95</v>
      </c>
    </row>
    <row r="566" spans="1:8" ht="31.5" outlineLevel="5">
      <c r="A566" s="52" t="s">
        <v>39</v>
      </c>
      <c r="B566" s="53" t="s">
        <v>195</v>
      </c>
      <c r="C566" s="53" t="s">
        <v>17</v>
      </c>
      <c r="D566" s="53" t="s">
        <v>400</v>
      </c>
      <c r="E566" s="53" t="s">
        <v>40</v>
      </c>
      <c r="F566" s="55">
        <f>49817.95+1610780.49+10159.27+314.21</f>
        <v>1671071.92</v>
      </c>
      <c r="G566" s="55">
        <f>51118.75+1652839.51-29283.95-905.69</f>
        <v>1673768.62</v>
      </c>
      <c r="H566" s="55">
        <f>51118.75+1652839.51+34476.95+447.74</f>
        <v>1738882.95</v>
      </c>
    </row>
    <row r="567" spans="1:8" ht="31.5" outlineLevel="5">
      <c r="A567" s="15" t="s">
        <v>401</v>
      </c>
      <c r="B567" s="16" t="s">
        <v>195</v>
      </c>
      <c r="C567" s="16" t="s">
        <v>17</v>
      </c>
      <c r="D567" s="16" t="s">
        <v>402</v>
      </c>
      <c r="E567" s="16" t="s">
        <v>20</v>
      </c>
      <c r="F567" s="19">
        <f t="shared" ref="F567:H568" si="115">F568</f>
        <v>173201.03</v>
      </c>
      <c r="G567" s="19">
        <f t="shared" si="115"/>
        <v>173201.03</v>
      </c>
      <c r="H567" s="19">
        <f t="shared" si="115"/>
        <v>173201.03</v>
      </c>
    </row>
    <row r="568" spans="1:8" ht="31.5" outlineLevel="5">
      <c r="A568" s="15" t="s">
        <v>37</v>
      </c>
      <c r="B568" s="16" t="s">
        <v>195</v>
      </c>
      <c r="C568" s="16" t="s">
        <v>17</v>
      </c>
      <c r="D568" s="16" t="s">
        <v>402</v>
      </c>
      <c r="E568" s="16" t="s">
        <v>38</v>
      </c>
      <c r="F568" s="19">
        <f t="shared" si="115"/>
        <v>173201.03</v>
      </c>
      <c r="G568" s="19">
        <f t="shared" si="115"/>
        <v>173201.03</v>
      </c>
      <c r="H568" s="19">
        <f t="shared" si="115"/>
        <v>173201.03</v>
      </c>
    </row>
    <row r="569" spans="1:8" ht="31.5" outlineLevel="5">
      <c r="A569" s="15" t="s">
        <v>39</v>
      </c>
      <c r="B569" s="16" t="s">
        <v>195</v>
      </c>
      <c r="C569" s="16" t="s">
        <v>17</v>
      </c>
      <c r="D569" s="16" t="s">
        <v>402</v>
      </c>
      <c r="E569" s="16" t="s">
        <v>40</v>
      </c>
      <c r="F569" s="19">
        <f>5196.03+168005</f>
        <v>173201.03</v>
      </c>
      <c r="G569" s="19">
        <f>5196.03+168005</f>
        <v>173201.03</v>
      </c>
      <c r="H569" s="19">
        <f>5196.03+168005</f>
        <v>173201.03</v>
      </c>
    </row>
    <row r="570" spans="1:8" ht="47.25" outlineLevel="5">
      <c r="A570" s="15" t="s">
        <v>122</v>
      </c>
      <c r="B570" s="16" t="s">
        <v>195</v>
      </c>
      <c r="C570" s="16" t="s">
        <v>17</v>
      </c>
      <c r="D570" s="16" t="s">
        <v>123</v>
      </c>
      <c r="E570" s="16" t="s">
        <v>20</v>
      </c>
      <c r="F570" s="17">
        <f t="shared" ref="F570:H573" si="116">F571</f>
        <v>22000</v>
      </c>
      <c r="G570" s="17">
        <f t="shared" si="116"/>
        <v>22000</v>
      </c>
      <c r="H570" s="17">
        <f t="shared" si="116"/>
        <v>0</v>
      </c>
    </row>
    <row r="571" spans="1:8" ht="47.25" outlineLevel="5">
      <c r="A571" s="15" t="s">
        <v>124</v>
      </c>
      <c r="B571" s="16" t="s">
        <v>195</v>
      </c>
      <c r="C571" s="16" t="s">
        <v>17</v>
      </c>
      <c r="D571" s="16" t="s">
        <v>125</v>
      </c>
      <c r="E571" s="16" t="s">
        <v>20</v>
      </c>
      <c r="F571" s="17">
        <f t="shared" si="116"/>
        <v>22000</v>
      </c>
      <c r="G571" s="17">
        <f t="shared" si="116"/>
        <v>22000</v>
      </c>
      <c r="H571" s="17">
        <f t="shared" si="116"/>
        <v>0</v>
      </c>
    </row>
    <row r="572" spans="1:8" ht="31.5" outlineLevel="5">
      <c r="A572" s="15" t="s">
        <v>126</v>
      </c>
      <c r="B572" s="16" t="s">
        <v>195</v>
      </c>
      <c r="C572" s="16" t="s">
        <v>17</v>
      </c>
      <c r="D572" s="16" t="s">
        <v>127</v>
      </c>
      <c r="E572" s="16" t="s">
        <v>20</v>
      </c>
      <c r="F572" s="17">
        <f t="shared" si="116"/>
        <v>22000</v>
      </c>
      <c r="G572" s="17">
        <f t="shared" si="116"/>
        <v>22000</v>
      </c>
      <c r="H572" s="17">
        <f t="shared" si="116"/>
        <v>0</v>
      </c>
    </row>
    <row r="573" spans="1:8" ht="31.5" outlineLevel="5">
      <c r="A573" s="15" t="s">
        <v>37</v>
      </c>
      <c r="B573" s="16" t="s">
        <v>195</v>
      </c>
      <c r="C573" s="16" t="s">
        <v>17</v>
      </c>
      <c r="D573" s="16" t="s">
        <v>127</v>
      </c>
      <c r="E573" s="16" t="s">
        <v>38</v>
      </c>
      <c r="F573" s="17">
        <f t="shared" si="116"/>
        <v>22000</v>
      </c>
      <c r="G573" s="17">
        <f t="shared" si="116"/>
        <v>22000</v>
      </c>
      <c r="H573" s="17">
        <f t="shared" si="116"/>
        <v>0</v>
      </c>
    </row>
    <row r="574" spans="1:8" ht="31.5" outlineLevel="5">
      <c r="A574" s="15" t="s">
        <v>39</v>
      </c>
      <c r="B574" s="16" t="s">
        <v>195</v>
      </c>
      <c r="C574" s="16" t="s">
        <v>17</v>
      </c>
      <c r="D574" s="16" t="s">
        <v>127</v>
      </c>
      <c r="E574" s="16" t="s">
        <v>40</v>
      </c>
      <c r="F574" s="17">
        <v>22000</v>
      </c>
      <c r="G574" s="17">
        <v>22000</v>
      </c>
      <c r="H574" s="17">
        <v>0</v>
      </c>
    </row>
    <row r="575" spans="1:8" outlineLevel="1">
      <c r="A575" s="15" t="s">
        <v>403</v>
      </c>
      <c r="B575" s="16" t="s">
        <v>195</v>
      </c>
      <c r="C575" s="16" t="s">
        <v>52</v>
      </c>
      <c r="D575" s="16" t="s">
        <v>19</v>
      </c>
      <c r="E575" s="16" t="s">
        <v>20</v>
      </c>
      <c r="F575" s="17">
        <f t="shared" ref="F575:H578" si="117">F576</f>
        <v>54473400</v>
      </c>
      <c r="G575" s="17">
        <f t="shared" si="117"/>
        <v>55270224</v>
      </c>
      <c r="H575" s="17">
        <f t="shared" si="117"/>
        <v>55801600</v>
      </c>
    </row>
    <row r="576" spans="1:8" ht="31.5" outlineLevel="1">
      <c r="A576" s="15" t="s">
        <v>261</v>
      </c>
      <c r="B576" s="16" t="s">
        <v>195</v>
      </c>
      <c r="C576" s="16" t="s">
        <v>52</v>
      </c>
      <c r="D576" s="16" t="s">
        <v>262</v>
      </c>
      <c r="E576" s="16" t="s">
        <v>20</v>
      </c>
      <c r="F576" s="17">
        <f t="shared" si="117"/>
        <v>54473400</v>
      </c>
      <c r="G576" s="17">
        <f t="shared" si="117"/>
        <v>55270224</v>
      </c>
      <c r="H576" s="17">
        <f t="shared" si="117"/>
        <v>55801600</v>
      </c>
    </row>
    <row r="577" spans="1:8" ht="47.25" outlineLevel="1">
      <c r="A577" s="15" t="s">
        <v>263</v>
      </c>
      <c r="B577" s="16" t="s">
        <v>195</v>
      </c>
      <c r="C577" s="16" t="s">
        <v>52</v>
      </c>
      <c r="D577" s="16" t="s">
        <v>264</v>
      </c>
      <c r="E577" s="16" t="s">
        <v>20</v>
      </c>
      <c r="F577" s="17">
        <f t="shared" si="117"/>
        <v>54473400</v>
      </c>
      <c r="G577" s="17">
        <f t="shared" si="117"/>
        <v>55270224</v>
      </c>
      <c r="H577" s="17">
        <f t="shared" si="117"/>
        <v>55801600</v>
      </c>
    </row>
    <row r="578" spans="1:8" ht="31.5" outlineLevel="1">
      <c r="A578" s="15" t="s">
        <v>112</v>
      </c>
      <c r="B578" s="16" t="s">
        <v>195</v>
      </c>
      <c r="C578" s="16" t="s">
        <v>52</v>
      </c>
      <c r="D578" s="16" t="s">
        <v>404</v>
      </c>
      <c r="E578" s="16" t="s">
        <v>20</v>
      </c>
      <c r="F578" s="17">
        <f t="shared" si="117"/>
        <v>54473400</v>
      </c>
      <c r="G578" s="17">
        <f t="shared" si="117"/>
        <v>55270224</v>
      </c>
      <c r="H578" s="17">
        <f t="shared" si="117"/>
        <v>55801600</v>
      </c>
    </row>
    <row r="579" spans="1:8" ht="63" outlineLevel="1">
      <c r="A579" s="15" t="s">
        <v>381</v>
      </c>
      <c r="B579" s="16" t="s">
        <v>195</v>
      </c>
      <c r="C579" s="16" t="s">
        <v>52</v>
      </c>
      <c r="D579" s="16" t="s">
        <v>405</v>
      </c>
      <c r="E579" s="16" t="s">
        <v>20</v>
      </c>
      <c r="F579" s="19">
        <f>F580+F582+F584</f>
        <v>54473400</v>
      </c>
      <c r="G579" s="19">
        <f>G580+G582+G584</f>
        <v>55270224</v>
      </c>
      <c r="H579" s="19">
        <f>H580+H582+H584</f>
        <v>55801600</v>
      </c>
    </row>
    <row r="580" spans="1:8" ht="63" outlineLevel="1">
      <c r="A580" s="15" t="s">
        <v>29</v>
      </c>
      <c r="B580" s="16" t="s">
        <v>195</v>
      </c>
      <c r="C580" s="16" t="s">
        <v>52</v>
      </c>
      <c r="D580" s="16" t="s">
        <v>405</v>
      </c>
      <c r="E580" s="16" t="s">
        <v>30</v>
      </c>
      <c r="F580" s="19">
        <f>F581</f>
        <v>47833400</v>
      </c>
      <c r="G580" s="19">
        <f>G581</f>
        <v>48630224</v>
      </c>
      <c r="H580" s="19">
        <f>H581</f>
        <v>49161600</v>
      </c>
    </row>
    <row r="581" spans="1:8" outlineLevel="1">
      <c r="A581" s="15" t="s">
        <v>88</v>
      </c>
      <c r="B581" s="16" t="s">
        <v>195</v>
      </c>
      <c r="C581" s="16" t="s">
        <v>52</v>
      </c>
      <c r="D581" s="16" t="s">
        <v>405</v>
      </c>
      <c r="E581" s="16" t="s">
        <v>89</v>
      </c>
      <c r="F581" s="19">
        <v>47833400</v>
      </c>
      <c r="G581" s="19">
        <v>48630224</v>
      </c>
      <c r="H581" s="19">
        <v>49161600</v>
      </c>
    </row>
    <row r="582" spans="1:8" ht="31.5" outlineLevel="1">
      <c r="A582" s="15" t="s">
        <v>37</v>
      </c>
      <c r="B582" s="16" t="s">
        <v>195</v>
      </c>
      <c r="C582" s="16" t="s">
        <v>52</v>
      </c>
      <c r="D582" s="16" t="s">
        <v>405</v>
      </c>
      <c r="E582" s="16" t="s">
        <v>38</v>
      </c>
      <c r="F582" s="19">
        <f>F583</f>
        <v>6230000</v>
      </c>
      <c r="G582" s="19">
        <f>G583</f>
        <v>6230000</v>
      </c>
      <c r="H582" s="19">
        <f>H583</f>
        <v>6230000</v>
      </c>
    </row>
    <row r="583" spans="1:8" ht="31.5" outlineLevel="1">
      <c r="A583" s="15" t="s">
        <v>39</v>
      </c>
      <c r="B583" s="16" t="s">
        <v>195</v>
      </c>
      <c r="C583" s="16" t="s">
        <v>52</v>
      </c>
      <c r="D583" s="16" t="s">
        <v>405</v>
      </c>
      <c r="E583" s="16" t="s">
        <v>40</v>
      </c>
      <c r="F583" s="19">
        <v>6230000</v>
      </c>
      <c r="G583" s="19">
        <v>6230000</v>
      </c>
      <c r="H583" s="19">
        <v>6230000</v>
      </c>
    </row>
    <row r="584" spans="1:8" outlineLevel="1">
      <c r="A584" s="15" t="s">
        <v>45</v>
      </c>
      <c r="B584" s="16" t="s">
        <v>195</v>
      </c>
      <c r="C584" s="16" t="s">
        <v>52</v>
      </c>
      <c r="D584" s="16" t="s">
        <v>405</v>
      </c>
      <c r="E584" s="16" t="s">
        <v>46</v>
      </c>
      <c r="F584" s="19">
        <f>F585</f>
        <v>410000</v>
      </c>
      <c r="G584" s="19">
        <f>G585</f>
        <v>410000</v>
      </c>
      <c r="H584" s="19">
        <f>H585</f>
        <v>410000</v>
      </c>
    </row>
    <row r="585" spans="1:8" outlineLevel="1">
      <c r="A585" s="15" t="s">
        <v>47</v>
      </c>
      <c r="B585" s="16" t="s">
        <v>195</v>
      </c>
      <c r="C585" s="16" t="s">
        <v>52</v>
      </c>
      <c r="D585" s="16" t="s">
        <v>405</v>
      </c>
      <c r="E585" s="16" t="s">
        <v>48</v>
      </c>
      <c r="F585" s="19">
        <v>410000</v>
      </c>
      <c r="G585" s="19">
        <v>410000</v>
      </c>
      <c r="H585" s="19">
        <v>410000</v>
      </c>
    </row>
    <row r="586" spans="1:8" s="14" customFormat="1">
      <c r="A586" s="11" t="s">
        <v>406</v>
      </c>
      <c r="B586" s="12" t="s">
        <v>175</v>
      </c>
      <c r="C586" s="12" t="s">
        <v>18</v>
      </c>
      <c r="D586" s="12" t="s">
        <v>19</v>
      </c>
      <c r="E586" s="12" t="s">
        <v>20</v>
      </c>
      <c r="F586" s="13">
        <f>F587+F619+F593+F647</f>
        <v>129078492.06</v>
      </c>
      <c r="G586" s="13">
        <f>G587+G619+G593+G647</f>
        <v>104554027.93000001</v>
      </c>
      <c r="H586" s="13">
        <f>H587+H619+H593+H647</f>
        <v>106520453.15000001</v>
      </c>
    </row>
    <row r="587" spans="1:8" outlineLevel="1">
      <c r="A587" s="15" t="s">
        <v>407</v>
      </c>
      <c r="B587" s="16" t="s">
        <v>175</v>
      </c>
      <c r="C587" s="16" t="s">
        <v>17</v>
      </c>
      <c r="D587" s="16" t="s">
        <v>19</v>
      </c>
      <c r="E587" s="16" t="s">
        <v>20</v>
      </c>
      <c r="F587" s="17">
        <f t="shared" ref="F587:H591" si="118">F588</f>
        <v>8687168</v>
      </c>
      <c r="G587" s="17">
        <f t="shared" si="118"/>
        <v>9034655</v>
      </c>
      <c r="H587" s="17">
        <f t="shared" si="118"/>
        <v>9303011</v>
      </c>
    </row>
    <row r="588" spans="1:8" ht="47.25" outlineLevel="1">
      <c r="A588" s="15" t="s">
        <v>75</v>
      </c>
      <c r="B588" s="16" t="s">
        <v>175</v>
      </c>
      <c r="C588" s="16" t="s">
        <v>17</v>
      </c>
      <c r="D588" s="16" t="s">
        <v>76</v>
      </c>
      <c r="E588" s="16" t="s">
        <v>20</v>
      </c>
      <c r="F588" s="17">
        <f t="shared" si="118"/>
        <v>8687168</v>
      </c>
      <c r="G588" s="17">
        <f t="shared" si="118"/>
        <v>9034655</v>
      </c>
      <c r="H588" s="17">
        <f t="shared" si="118"/>
        <v>9303011</v>
      </c>
    </row>
    <row r="589" spans="1:8" ht="47.25" outlineLevel="2">
      <c r="A589" s="15" t="s">
        <v>77</v>
      </c>
      <c r="B589" s="16" t="s">
        <v>175</v>
      </c>
      <c r="C589" s="16" t="s">
        <v>17</v>
      </c>
      <c r="D589" s="16" t="s">
        <v>78</v>
      </c>
      <c r="E589" s="16" t="s">
        <v>20</v>
      </c>
      <c r="F589" s="17">
        <f t="shared" si="118"/>
        <v>8687168</v>
      </c>
      <c r="G589" s="17">
        <f t="shared" si="118"/>
        <v>9034655</v>
      </c>
      <c r="H589" s="17">
        <f t="shared" si="118"/>
        <v>9303011</v>
      </c>
    </row>
    <row r="590" spans="1:8" outlineLevel="3">
      <c r="A590" s="15" t="s">
        <v>408</v>
      </c>
      <c r="B590" s="16" t="s">
        <v>175</v>
      </c>
      <c r="C590" s="16" t="s">
        <v>17</v>
      </c>
      <c r="D590" s="16" t="s">
        <v>409</v>
      </c>
      <c r="E590" s="16" t="s">
        <v>20</v>
      </c>
      <c r="F590" s="17">
        <f t="shared" si="118"/>
        <v>8687168</v>
      </c>
      <c r="G590" s="17">
        <f t="shared" si="118"/>
        <v>9034655</v>
      </c>
      <c r="H590" s="17">
        <f t="shared" si="118"/>
        <v>9303011</v>
      </c>
    </row>
    <row r="591" spans="1:8" outlineLevel="3">
      <c r="A591" s="15" t="s">
        <v>41</v>
      </c>
      <c r="B591" s="16" t="s">
        <v>175</v>
      </c>
      <c r="C591" s="16" t="s">
        <v>17</v>
      </c>
      <c r="D591" s="16" t="s">
        <v>409</v>
      </c>
      <c r="E591" s="16" t="s">
        <v>42</v>
      </c>
      <c r="F591" s="17">
        <f t="shared" si="118"/>
        <v>8687168</v>
      </c>
      <c r="G591" s="17">
        <f t="shared" si="118"/>
        <v>9034655</v>
      </c>
      <c r="H591" s="17">
        <f t="shared" si="118"/>
        <v>9303011</v>
      </c>
    </row>
    <row r="592" spans="1:8" outlineLevel="5">
      <c r="A592" s="15" t="s">
        <v>410</v>
      </c>
      <c r="B592" s="16" t="s">
        <v>175</v>
      </c>
      <c r="C592" s="16" t="s">
        <v>17</v>
      </c>
      <c r="D592" s="16" t="s">
        <v>409</v>
      </c>
      <c r="E592" s="16" t="s">
        <v>411</v>
      </c>
      <c r="F592" s="17">
        <v>8687168</v>
      </c>
      <c r="G592" s="17">
        <v>9034655</v>
      </c>
      <c r="H592" s="17">
        <v>9303011</v>
      </c>
    </row>
    <row r="593" spans="1:8" outlineLevel="5">
      <c r="A593" s="15" t="s">
        <v>412</v>
      </c>
      <c r="B593" s="16" t="s">
        <v>175</v>
      </c>
      <c r="C593" s="16" t="s">
        <v>34</v>
      </c>
      <c r="D593" s="16" t="s">
        <v>19</v>
      </c>
      <c r="E593" s="16" t="s">
        <v>20</v>
      </c>
      <c r="F593" s="19">
        <f>F594+F599+F604+F609+F614</f>
        <v>7813180</v>
      </c>
      <c r="G593" s="19">
        <f t="shared" ref="G593:H593" si="119">G594+G599+G604+G609+G614</f>
        <v>1381300</v>
      </c>
      <c r="H593" s="19">
        <f t="shared" si="119"/>
        <v>1436550</v>
      </c>
    </row>
    <row r="594" spans="1:8" ht="31.5" outlineLevel="5">
      <c r="A594" s="15" t="s">
        <v>291</v>
      </c>
      <c r="B594" s="16" t="s">
        <v>175</v>
      </c>
      <c r="C594" s="16" t="s">
        <v>34</v>
      </c>
      <c r="D594" s="16" t="s">
        <v>292</v>
      </c>
      <c r="E594" s="16" t="s">
        <v>20</v>
      </c>
      <c r="F594" s="19">
        <f t="shared" ref="F594:H597" si="120">F595</f>
        <v>5568000</v>
      </c>
      <c r="G594" s="19">
        <f t="shared" si="120"/>
        <v>0</v>
      </c>
      <c r="H594" s="19">
        <f t="shared" si="120"/>
        <v>0</v>
      </c>
    </row>
    <row r="595" spans="1:8" outlineLevel="5">
      <c r="A595" s="47" t="s">
        <v>413</v>
      </c>
      <c r="B595" s="16" t="s">
        <v>175</v>
      </c>
      <c r="C595" s="16" t="s">
        <v>34</v>
      </c>
      <c r="D595" s="16" t="s">
        <v>414</v>
      </c>
      <c r="E595" s="16" t="s">
        <v>20</v>
      </c>
      <c r="F595" s="17">
        <f t="shared" si="120"/>
        <v>5568000</v>
      </c>
      <c r="G595" s="17">
        <f t="shared" si="120"/>
        <v>0</v>
      </c>
      <c r="H595" s="17">
        <f t="shared" si="120"/>
        <v>0</v>
      </c>
    </row>
    <row r="596" spans="1:8" ht="31.5" outlineLevel="5">
      <c r="A596" s="69" t="s">
        <v>415</v>
      </c>
      <c r="B596" s="53" t="s">
        <v>175</v>
      </c>
      <c r="C596" s="53" t="s">
        <v>34</v>
      </c>
      <c r="D596" s="70" t="s">
        <v>471</v>
      </c>
      <c r="E596" s="53" t="s">
        <v>20</v>
      </c>
      <c r="F596" s="56">
        <f t="shared" si="120"/>
        <v>5568000</v>
      </c>
      <c r="G596" s="56">
        <f t="shared" si="120"/>
        <v>0</v>
      </c>
      <c r="H596" s="56">
        <f t="shared" si="120"/>
        <v>0</v>
      </c>
    </row>
    <row r="597" spans="1:8" ht="31.5" outlineLevel="5">
      <c r="A597" s="52" t="s">
        <v>298</v>
      </c>
      <c r="B597" s="53" t="s">
        <v>175</v>
      </c>
      <c r="C597" s="53" t="s">
        <v>34</v>
      </c>
      <c r="D597" s="70" t="s">
        <v>471</v>
      </c>
      <c r="E597" s="53" t="s">
        <v>299</v>
      </c>
      <c r="F597" s="55">
        <f t="shared" si="120"/>
        <v>5568000</v>
      </c>
      <c r="G597" s="55">
        <f t="shared" si="120"/>
        <v>0</v>
      </c>
      <c r="H597" s="55">
        <f t="shared" si="120"/>
        <v>0</v>
      </c>
    </row>
    <row r="598" spans="1:8" outlineLevel="5">
      <c r="A598" s="52" t="s">
        <v>300</v>
      </c>
      <c r="B598" s="53" t="s">
        <v>175</v>
      </c>
      <c r="C598" s="53" t="s">
        <v>34</v>
      </c>
      <c r="D598" s="70" t="s">
        <v>471</v>
      </c>
      <c r="E598" s="53" t="s">
        <v>301</v>
      </c>
      <c r="F598" s="55">
        <f>6065000-497000</f>
        <v>5568000</v>
      </c>
      <c r="G598" s="55">
        <v>0</v>
      </c>
      <c r="H598" s="55">
        <v>0</v>
      </c>
    </row>
    <row r="599" spans="1:8" ht="31.5" outlineLevel="5">
      <c r="A599" s="84" t="s">
        <v>261</v>
      </c>
      <c r="B599" s="53" t="s">
        <v>175</v>
      </c>
      <c r="C599" s="53" t="s">
        <v>34</v>
      </c>
      <c r="D599" s="65" t="s">
        <v>262</v>
      </c>
      <c r="E599" s="65" t="s">
        <v>20</v>
      </c>
      <c r="F599" s="55">
        <f>F600</f>
        <v>497000</v>
      </c>
      <c r="G599" s="55">
        <f t="shared" ref="G599:H602" si="121">G600</f>
        <v>0</v>
      </c>
      <c r="H599" s="55">
        <f t="shared" si="121"/>
        <v>0</v>
      </c>
    </row>
    <row r="600" spans="1:8" ht="47.25" outlineLevel="5">
      <c r="A600" s="84" t="s">
        <v>343</v>
      </c>
      <c r="B600" s="53" t="s">
        <v>175</v>
      </c>
      <c r="C600" s="53" t="s">
        <v>34</v>
      </c>
      <c r="D600" s="65" t="s">
        <v>344</v>
      </c>
      <c r="E600" s="65" t="s">
        <v>20</v>
      </c>
      <c r="F600" s="55">
        <f>F601</f>
        <v>497000</v>
      </c>
      <c r="G600" s="55">
        <f t="shared" si="121"/>
        <v>0</v>
      </c>
      <c r="H600" s="55">
        <f t="shared" si="121"/>
        <v>0</v>
      </c>
    </row>
    <row r="601" spans="1:8" ht="31.5" outlineLevel="5">
      <c r="A601" s="83" t="s">
        <v>415</v>
      </c>
      <c r="B601" s="65" t="s">
        <v>175</v>
      </c>
      <c r="C601" s="65" t="s">
        <v>34</v>
      </c>
      <c r="D601" s="85" t="s">
        <v>482</v>
      </c>
      <c r="E601" s="65" t="s">
        <v>20</v>
      </c>
      <c r="F601" s="86">
        <f>F602</f>
        <v>497000</v>
      </c>
      <c r="G601" s="86">
        <f t="shared" si="121"/>
        <v>0</v>
      </c>
      <c r="H601" s="86">
        <f t="shared" si="121"/>
        <v>0</v>
      </c>
    </row>
    <row r="602" spans="1:8" ht="31.5" outlineLevel="5">
      <c r="A602" s="84" t="s">
        <v>298</v>
      </c>
      <c r="B602" s="65" t="s">
        <v>175</v>
      </c>
      <c r="C602" s="65" t="s">
        <v>34</v>
      </c>
      <c r="D602" s="85" t="s">
        <v>482</v>
      </c>
      <c r="E602" s="65" t="s">
        <v>299</v>
      </c>
      <c r="F602" s="87">
        <f>F603</f>
        <v>497000</v>
      </c>
      <c r="G602" s="87">
        <f t="shared" si="121"/>
        <v>0</v>
      </c>
      <c r="H602" s="87">
        <f t="shared" si="121"/>
        <v>0</v>
      </c>
    </row>
    <row r="603" spans="1:8" outlineLevel="5">
      <c r="A603" s="84" t="s">
        <v>300</v>
      </c>
      <c r="B603" s="65" t="s">
        <v>175</v>
      </c>
      <c r="C603" s="65" t="s">
        <v>34</v>
      </c>
      <c r="D603" s="85" t="s">
        <v>482</v>
      </c>
      <c r="E603" s="65" t="s">
        <v>301</v>
      </c>
      <c r="F603" s="87">
        <v>497000</v>
      </c>
      <c r="G603" s="87">
        <v>0</v>
      </c>
      <c r="H603" s="87">
        <v>0</v>
      </c>
    </row>
    <row r="604" spans="1:8" ht="47.25" outlineLevel="5">
      <c r="A604" s="88" t="s">
        <v>82</v>
      </c>
      <c r="B604" s="89" t="s">
        <v>175</v>
      </c>
      <c r="C604" s="89" t="s">
        <v>34</v>
      </c>
      <c r="D604" s="89" t="s">
        <v>83</v>
      </c>
      <c r="E604" s="89" t="s">
        <v>20</v>
      </c>
      <c r="F604" s="90">
        <f t="shared" ref="F604:H607" si="122">F605</f>
        <v>120000</v>
      </c>
      <c r="G604" s="90">
        <f t="shared" si="122"/>
        <v>0</v>
      </c>
      <c r="H604" s="90">
        <f t="shared" si="122"/>
        <v>0</v>
      </c>
    </row>
    <row r="605" spans="1:8" ht="63" outlineLevel="5">
      <c r="A605" s="91" t="s">
        <v>84</v>
      </c>
      <c r="B605" s="89" t="s">
        <v>175</v>
      </c>
      <c r="C605" s="89" t="s">
        <v>34</v>
      </c>
      <c r="D605" s="92" t="s">
        <v>85</v>
      </c>
      <c r="E605" s="89" t="s">
        <v>20</v>
      </c>
      <c r="F605" s="90">
        <f t="shared" si="122"/>
        <v>120000</v>
      </c>
      <c r="G605" s="90">
        <f t="shared" si="122"/>
        <v>0</v>
      </c>
      <c r="H605" s="90">
        <f t="shared" si="122"/>
        <v>0</v>
      </c>
    </row>
    <row r="606" spans="1:8" ht="33" outlineLevel="5">
      <c r="A606" s="93" t="s">
        <v>483</v>
      </c>
      <c r="B606" s="94" t="s">
        <v>175</v>
      </c>
      <c r="C606" s="94" t="s">
        <v>34</v>
      </c>
      <c r="D606" s="95" t="s">
        <v>484</v>
      </c>
      <c r="E606" s="94" t="s">
        <v>20</v>
      </c>
      <c r="F606" s="96">
        <f t="shared" si="122"/>
        <v>120000</v>
      </c>
      <c r="G606" s="96">
        <f t="shared" si="122"/>
        <v>0</v>
      </c>
      <c r="H606" s="96">
        <f t="shared" si="122"/>
        <v>0</v>
      </c>
    </row>
    <row r="607" spans="1:8" outlineLevel="5">
      <c r="A607" s="97" t="s">
        <v>41</v>
      </c>
      <c r="B607" s="94" t="s">
        <v>175</v>
      </c>
      <c r="C607" s="94" t="s">
        <v>34</v>
      </c>
      <c r="D607" s="95" t="s">
        <v>484</v>
      </c>
      <c r="E607" s="94" t="s">
        <v>42</v>
      </c>
      <c r="F607" s="96">
        <f t="shared" si="122"/>
        <v>120000</v>
      </c>
      <c r="G607" s="96">
        <f t="shared" si="122"/>
        <v>0</v>
      </c>
      <c r="H607" s="96">
        <f t="shared" si="122"/>
        <v>0</v>
      </c>
    </row>
    <row r="608" spans="1:8" ht="31.5" outlineLevel="5">
      <c r="A608" s="98" t="s">
        <v>330</v>
      </c>
      <c r="B608" s="99" t="s">
        <v>175</v>
      </c>
      <c r="C608" s="99" t="s">
        <v>34</v>
      </c>
      <c r="D608" s="100" t="s">
        <v>484</v>
      </c>
      <c r="E608" s="99" t="s">
        <v>331</v>
      </c>
      <c r="F608" s="101">
        <f>70000+50000</f>
        <v>120000</v>
      </c>
      <c r="G608" s="101">
        <v>0</v>
      </c>
      <c r="H608" s="101">
        <v>0</v>
      </c>
    </row>
    <row r="609" spans="1:8" ht="47.25" outlineLevel="5">
      <c r="A609" s="15" t="s">
        <v>416</v>
      </c>
      <c r="B609" s="16" t="s">
        <v>175</v>
      </c>
      <c r="C609" s="16" t="s">
        <v>34</v>
      </c>
      <c r="D609" s="16" t="s">
        <v>417</v>
      </c>
      <c r="E609" s="16" t="s">
        <v>20</v>
      </c>
      <c r="F609" s="17">
        <f t="shared" ref="F609:H612" si="123">F610</f>
        <v>1328180</v>
      </c>
      <c r="G609" s="17">
        <f t="shared" si="123"/>
        <v>1381300</v>
      </c>
      <c r="H609" s="17">
        <f t="shared" si="123"/>
        <v>1436550</v>
      </c>
    </row>
    <row r="610" spans="1:8" ht="47.25" outlineLevel="5">
      <c r="A610" s="15" t="s">
        <v>418</v>
      </c>
      <c r="B610" s="16" t="s">
        <v>175</v>
      </c>
      <c r="C610" s="16" t="s">
        <v>34</v>
      </c>
      <c r="D610" s="16" t="s">
        <v>419</v>
      </c>
      <c r="E610" s="16" t="s">
        <v>20</v>
      </c>
      <c r="F610" s="17">
        <f t="shared" si="123"/>
        <v>1328180</v>
      </c>
      <c r="G610" s="17">
        <f t="shared" si="123"/>
        <v>1381300</v>
      </c>
      <c r="H610" s="17">
        <f t="shared" si="123"/>
        <v>1436550</v>
      </c>
    </row>
    <row r="611" spans="1:8" ht="63" outlineLevel="5">
      <c r="A611" s="15" t="s">
        <v>420</v>
      </c>
      <c r="B611" s="16" t="s">
        <v>175</v>
      </c>
      <c r="C611" s="16" t="s">
        <v>34</v>
      </c>
      <c r="D611" s="16" t="s">
        <v>421</v>
      </c>
      <c r="E611" s="16" t="s">
        <v>20</v>
      </c>
      <c r="F611" s="17">
        <f t="shared" si="123"/>
        <v>1328180</v>
      </c>
      <c r="G611" s="17">
        <f t="shared" si="123"/>
        <v>1381300</v>
      </c>
      <c r="H611" s="17">
        <f t="shared" si="123"/>
        <v>1436550</v>
      </c>
    </row>
    <row r="612" spans="1:8" outlineLevel="5">
      <c r="A612" s="15" t="s">
        <v>41</v>
      </c>
      <c r="B612" s="16" t="s">
        <v>175</v>
      </c>
      <c r="C612" s="16" t="s">
        <v>34</v>
      </c>
      <c r="D612" s="16" t="s">
        <v>421</v>
      </c>
      <c r="E612" s="16" t="s">
        <v>42</v>
      </c>
      <c r="F612" s="17">
        <f t="shared" si="123"/>
        <v>1328180</v>
      </c>
      <c r="G612" s="17">
        <f t="shared" si="123"/>
        <v>1381300</v>
      </c>
      <c r="H612" s="17">
        <f t="shared" si="123"/>
        <v>1436550</v>
      </c>
    </row>
    <row r="613" spans="1:8" ht="31.5" outlineLevel="5">
      <c r="A613" s="15" t="s">
        <v>330</v>
      </c>
      <c r="B613" s="16" t="s">
        <v>175</v>
      </c>
      <c r="C613" s="16" t="s">
        <v>34</v>
      </c>
      <c r="D613" s="16" t="s">
        <v>421</v>
      </c>
      <c r="E613" s="16" t="s">
        <v>331</v>
      </c>
      <c r="F613" s="17">
        <v>1328180</v>
      </c>
      <c r="G613" s="17">
        <v>1381300</v>
      </c>
      <c r="H613" s="17">
        <v>1436550</v>
      </c>
    </row>
    <row r="614" spans="1:8" ht="31.5" outlineLevel="5">
      <c r="A614" s="102" t="s">
        <v>23</v>
      </c>
      <c r="B614" s="103" t="s">
        <v>175</v>
      </c>
      <c r="C614" s="103" t="s">
        <v>34</v>
      </c>
      <c r="D614" s="103" t="s">
        <v>24</v>
      </c>
      <c r="E614" s="103" t="s">
        <v>20</v>
      </c>
      <c r="F614" s="104">
        <f t="shared" ref="F614:H617" si="124">F615</f>
        <v>300000</v>
      </c>
      <c r="G614" s="104">
        <f t="shared" si="124"/>
        <v>0</v>
      </c>
      <c r="H614" s="104">
        <f t="shared" si="124"/>
        <v>0</v>
      </c>
    </row>
    <row r="615" spans="1:8" ht="31.5" outlineLevel="5">
      <c r="A615" s="102" t="s">
        <v>25</v>
      </c>
      <c r="B615" s="103" t="s">
        <v>175</v>
      </c>
      <c r="C615" s="103" t="s">
        <v>34</v>
      </c>
      <c r="D615" s="103" t="s">
        <v>26</v>
      </c>
      <c r="E615" s="103" t="s">
        <v>20</v>
      </c>
      <c r="F615" s="104">
        <f t="shared" si="124"/>
        <v>300000</v>
      </c>
      <c r="G615" s="104">
        <f t="shared" si="124"/>
        <v>0</v>
      </c>
      <c r="H615" s="104">
        <f t="shared" si="124"/>
        <v>0</v>
      </c>
    </row>
    <row r="616" spans="1:8" ht="47.25" outlineLevel="5">
      <c r="A616" s="81" t="s">
        <v>485</v>
      </c>
      <c r="B616" s="105" t="s">
        <v>175</v>
      </c>
      <c r="C616" s="105" t="s">
        <v>34</v>
      </c>
      <c r="D616" s="105" t="s">
        <v>486</v>
      </c>
      <c r="E616" s="105" t="s">
        <v>20</v>
      </c>
      <c r="F616" s="106">
        <f t="shared" si="124"/>
        <v>300000</v>
      </c>
      <c r="G616" s="106">
        <f t="shared" si="124"/>
        <v>0</v>
      </c>
      <c r="H616" s="106">
        <f t="shared" si="124"/>
        <v>0</v>
      </c>
    </row>
    <row r="617" spans="1:8" outlineLevel="5">
      <c r="A617" s="81" t="s">
        <v>41</v>
      </c>
      <c r="B617" s="105" t="s">
        <v>175</v>
      </c>
      <c r="C617" s="105" t="s">
        <v>34</v>
      </c>
      <c r="D617" s="105" t="s">
        <v>486</v>
      </c>
      <c r="E617" s="105" t="s">
        <v>42</v>
      </c>
      <c r="F617" s="106">
        <f t="shared" si="124"/>
        <v>300000</v>
      </c>
      <c r="G617" s="106">
        <f t="shared" si="124"/>
        <v>0</v>
      </c>
      <c r="H617" s="106">
        <f t="shared" si="124"/>
        <v>0</v>
      </c>
    </row>
    <row r="618" spans="1:8" ht="31.5" outlineLevel="5">
      <c r="A618" s="107" t="s">
        <v>330</v>
      </c>
      <c r="B618" s="108" t="s">
        <v>175</v>
      </c>
      <c r="C618" s="108" t="s">
        <v>34</v>
      </c>
      <c r="D618" s="108" t="s">
        <v>486</v>
      </c>
      <c r="E618" s="108" t="s">
        <v>331</v>
      </c>
      <c r="F618" s="109">
        <f>100000+100000+100000</f>
        <v>300000</v>
      </c>
      <c r="G618" s="109">
        <v>0</v>
      </c>
      <c r="H618" s="109">
        <v>0</v>
      </c>
    </row>
    <row r="619" spans="1:8" outlineLevel="5">
      <c r="A619" s="15" t="s">
        <v>422</v>
      </c>
      <c r="B619" s="16" t="s">
        <v>175</v>
      </c>
      <c r="C619" s="16" t="s">
        <v>52</v>
      </c>
      <c r="D619" s="16" t="s">
        <v>19</v>
      </c>
      <c r="E619" s="16" t="s">
        <v>20</v>
      </c>
      <c r="F619" s="17">
        <f>F620+F625+F630+F642</f>
        <v>110912144.06</v>
      </c>
      <c r="G619" s="17">
        <f>G620+G625+G630+G642</f>
        <v>93201072.930000007</v>
      </c>
      <c r="H619" s="17">
        <f>H620+H625+H630+H642</f>
        <v>94799892.150000006</v>
      </c>
    </row>
    <row r="620" spans="1:8" ht="31.5" outlineLevel="5">
      <c r="A620" s="15" t="s">
        <v>291</v>
      </c>
      <c r="B620" s="16" t="s">
        <v>175</v>
      </c>
      <c r="C620" s="16" t="s">
        <v>52</v>
      </c>
      <c r="D620" s="16" t="s">
        <v>292</v>
      </c>
      <c r="E620" s="16" t="s">
        <v>20</v>
      </c>
      <c r="F620" s="17">
        <f t="shared" ref="F620:H623" si="125">F621</f>
        <v>4939989</v>
      </c>
      <c r="G620" s="17">
        <f t="shared" si="125"/>
        <v>5136872</v>
      </c>
      <c r="H620" s="17">
        <f t="shared" si="125"/>
        <v>5342705</v>
      </c>
    </row>
    <row r="621" spans="1:8" ht="31.5" outlineLevel="5">
      <c r="A621" s="15" t="s">
        <v>378</v>
      </c>
      <c r="B621" s="16" t="s">
        <v>175</v>
      </c>
      <c r="C621" s="16" t="s">
        <v>52</v>
      </c>
      <c r="D621" s="16" t="s">
        <v>379</v>
      </c>
      <c r="E621" s="16" t="s">
        <v>20</v>
      </c>
      <c r="F621" s="17">
        <f t="shared" si="125"/>
        <v>4939989</v>
      </c>
      <c r="G621" s="17">
        <f t="shared" si="125"/>
        <v>5136872</v>
      </c>
      <c r="H621" s="17">
        <f t="shared" si="125"/>
        <v>5342705</v>
      </c>
    </row>
    <row r="622" spans="1:8" ht="78.75" outlineLevel="5">
      <c r="A622" s="52" t="s">
        <v>423</v>
      </c>
      <c r="B622" s="53" t="s">
        <v>175</v>
      </c>
      <c r="C622" s="53" t="s">
        <v>52</v>
      </c>
      <c r="D622" s="53" t="s">
        <v>424</v>
      </c>
      <c r="E622" s="53" t="s">
        <v>20</v>
      </c>
      <c r="F622" s="56">
        <f t="shared" si="125"/>
        <v>4939989</v>
      </c>
      <c r="G622" s="56">
        <f t="shared" si="125"/>
        <v>5136872</v>
      </c>
      <c r="H622" s="56">
        <f t="shared" si="125"/>
        <v>5342705</v>
      </c>
    </row>
    <row r="623" spans="1:8" outlineLevel="5">
      <c r="A623" s="52" t="s">
        <v>41</v>
      </c>
      <c r="B623" s="53" t="s">
        <v>175</v>
      </c>
      <c r="C623" s="53" t="s">
        <v>52</v>
      </c>
      <c r="D623" s="53" t="s">
        <v>424</v>
      </c>
      <c r="E623" s="53" t="s">
        <v>42</v>
      </c>
      <c r="F623" s="56">
        <f t="shared" si="125"/>
        <v>4939989</v>
      </c>
      <c r="G623" s="56">
        <f t="shared" si="125"/>
        <v>5136872</v>
      </c>
      <c r="H623" s="56">
        <f t="shared" si="125"/>
        <v>5342705</v>
      </c>
    </row>
    <row r="624" spans="1:8" outlineLevel="5">
      <c r="A624" s="52" t="s">
        <v>410</v>
      </c>
      <c r="B624" s="53" t="s">
        <v>175</v>
      </c>
      <c r="C624" s="53" t="s">
        <v>52</v>
      </c>
      <c r="D624" s="53" t="s">
        <v>424</v>
      </c>
      <c r="E624" s="53" t="s">
        <v>411</v>
      </c>
      <c r="F624" s="56">
        <f>4916124+23865</f>
        <v>4939989</v>
      </c>
      <c r="G624" s="56">
        <f>5113008+23864</f>
        <v>5136872</v>
      </c>
      <c r="H624" s="56">
        <f>5318841+23864</f>
        <v>5342705</v>
      </c>
    </row>
    <row r="625" spans="1:8" ht="31.5" outlineLevel="5">
      <c r="A625" s="15" t="s">
        <v>488</v>
      </c>
      <c r="B625" s="16" t="s">
        <v>175</v>
      </c>
      <c r="C625" s="16" t="s">
        <v>52</v>
      </c>
      <c r="D625" s="16" t="s">
        <v>425</v>
      </c>
      <c r="E625" s="16" t="s">
        <v>20</v>
      </c>
      <c r="F625" s="19">
        <f t="shared" ref="F625:H628" si="126">F626</f>
        <v>8060597.9999999991</v>
      </c>
      <c r="G625" s="19">
        <f t="shared" si="126"/>
        <v>5441093.4500000002</v>
      </c>
      <c r="H625" s="19">
        <f t="shared" si="126"/>
        <v>5355051.7300000004</v>
      </c>
    </row>
    <row r="626" spans="1:8" ht="47.25" outlineLevel="5">
      <c r="A626" s="15" t="s">
        <v>487</v>
      </c>
      <c r="B626" s="16" t="s">
        <v>175</v>
      </c>
      <c r="C626" s="16" t="s">
        <v>52</v>
      </c>
      <c r="D626" s="16" t="s">
        <v>426</v>
      </c>
      <c r="E626" s="16" t="s">
        <v>20</v>
      </c>
      <c r="F626" s="19">
        <f t="shared" si="126"/>
        <v>8060597.9999999991</v>
      </c>
      <c r="G626" s="19">
        <f t="shared" si="126"/>
        <v>5441093.4500000002</v>
      </c>
      <c r="H626" s="19">
        <f t="shared" si="126"/>
        <v>5355051.7300000004</v>
      </c>
    </row>
    <row r="627" spans="1:8" ht="31.5" outlineLevel="5">
      <c r="A627" s="52" t="s">
        <v>427</v>
      </c>
      <c r="B627" s="53" t="s">
        <v>175</v>
      </c>
      <c r="C627" s="53" t="s">
        <v>52</v>
      </c>
      <c r="D627" s="54" t="s">
        <v>428</v>
      </c>
      <c r="E627" s="53" t="s">
        <v>20</v>
      </c>
      <c r="F627" s="55">
        <f t="shared" si="126"/>
        <v>8060597.9999999991</v>
      </c>
      <c r="G627" s="55">
        <f t="shared" si="126"/>
        <v>5441093.4500000002</v>
      </c>
      <c r="H627" s="55">
        <f t="shared" si="126"/>
        <v>5355051.7300000004</v>
      </c>
    </row>
    <row r="628" spans="1:8" outlineLevel="5">
      <c r="A628" s="52" t="s">
        <v>41</v>
      </c>
      <c r="B628" s="53" t="s">
        <v>175</v>
      </c>
      <c r="C628" s="53" t="s">
        <v>52</v>
      </c>
      <c r="D628" s="54" t="s">
        <v>428</v>
      </c>
      <c r="E628" s="53" t="s">
        <v>42</v>
      </c>
      <c r="F628" s="55">
        <f t="shared" si="126"/>
        <v>8060597.9999999991</v>
      </c>
      <c r="G628" s="55">
        <f t="shared" si="126"/>
        <v>5441093.4500000002</v>
      </c>
      <c r="H628" s="55">
        <f t="shared" si="126"/>
        <v>5355051.7300000004</v>
      </c>
    </row>
    <row r="629" spans="1:8" ht="31.5" outlineLevel="5">
      <c r="A629" s="52" t="s">
        <v>330</v>
      </c>
      <c r="B629" s="53" t="s">
        <v>175</v>
      </c>
      <c r="C629" s="53" t="s">
        <v>52</v>
      </c>
      <c r="D629" s="54" t="s">
        <v>428</v>
      </c>
      <c r="E629" s="53" t="s">
        <v>331</v>
      </c>
      <c r="F629" s="55">
        <f>1500000+7182293.95-621695.95</f>
        <v>8060597.9999999991</v>
      </c>
      <c r="G629" s="55">
        <f>1500000+4429874.49-488781.04</f>
        <v>5441093.4500000002</v>
      </c>
      <c r="H629" s="55">
        <f>1500000+4321830.95-466779.22</f>
        <v>5355051.7300000004</v>
      </c>
    </row>
    <row r="630" spans="1:8" ht="78.75" outlineLevel="5">
      <c r="A630" s="24" t="s">
        <v>140</v>
      </c>
      <c r="B630" s="16" t="s">
        <v>175</v>
      </c>
      <c r="C630" s="16" t="s">
        <v>52</v>
      </c>
      <c r="D630" s="16" t="s">
        <v>141</v>
      </c>
      <c r="E630" s="16" t="s">
        <v>20</v>
      </c>
      <c r="F630" s="17">
        <f>F631</f>
        <v>66545700.120000005</v>
      </c>
      <c r="G630" s="17">
        <f>G631</f>
        <v>49493476.920000002</v>
      </c>
      <c r="H630" s="17">
        <f>H631</f>
        <v>49493476.920000002</v>
      </c>
    </row>
    <row r="631" spans="1:8" ht="78.75" outlineLevel="5">
      <c r="A631" s="24" t="s">
        <v>142</v>
      </c>
      <c r="B631" s="16" t="s">
        <v>175</v>
      </c>
      <c r="C631" s="16" t="s">
        <v>52</v>
      </c>
      <c r="D631" s="16" t="s">
        <v>143</v>
      </c>
      <c r="E631" s="16" t="s">
        <v>20</v>
      </c>
      <c r="F631" s="17">
        <f>F632+F639</f>
        <v>66545700.120000005</v>
      </c>
      <c r="G631" s="17">
        <f>G632+G639</f>
        <v>49493476.920000002</v>
      </c>
      <c r="H631" s="17">
        <f>H632+H639</f>
        <v>49493476.920000002</v>
      </c>
    </row>
    <row r="632" spans="1:8" ht="47.25" outlineLevel="5">
      <c r="A632" s="57" t="s">
        <v>144</v>
      </c>
      <c r="B632" s="53" t="s">
        <v>175</v>
      </c>
      <c r="C632" s="53" t="s">
        <v>52</v>
      </c>
      <c r="D632" s="53" t="s">
        <v>145</v>
      </c>
      <c r="E632" s="53" t="s">
        <v>20</v>
      </c>
      <c r="F632" s="56">
        <f>F633+F635+F637</f>
        <v>28683414.120000001</v>
      </c>
      <c r="G632" s="56">
        <f t="shared" ref="G632:H632" si="127">G633+G635+G637</f>
        <v>321676.92</v>
      </c>
      <c r="H632" s="56">
        <f t="shared" si="127"/>
        <v>321676.92</v>
      </c>
    </row>
    <row r="633" spans="1:8" ht="31.5" outlineLevel="5">
      <c r="A633" s="52" t="s">
        <v>37</v>
      </c>
      <c r="B633" s="53" t="s">
        <v>175</v>
      </c>
      <c r="C633" s="53" t="s">
        <v>52</v>
      </c>
      <c r="D633" s="53" t="s">
        <v>145</v>
      </c>
      <c r="E633" s="53" t="s">
        <v>38</v>
      </c>
      <c r="F633" s="56">
        <f>F634</f>
        <v>313314.12</v>
      </c>
      <c r="G633" s="56">
        <f>G634</f>
        <v>321676.92</v>
      </c>
      <c r="H633" s="56">
        <f>H634</f>
        <v>321676.92</v>
      </c>
    </row>
    <row r="634" spans="1:8" ht="31.5" outlineLevel="5">
      <c r="A634" s="52" t="s">
        <v>39</v>
      </c>
      <c r="B634" s="53" t="s">
        <v>175</v>
      </c>
      <c r="C634" s="53" t="s">
        <v>52</v>
      </c>
      <c r="D634" s="53" t="s">
        <v>145</v>
      </c>
      <c r="E634" s="53" t="s">
        <v>40</v>
      </c>
      <c r="F634" s="56">
        <f>300000+13314.12</f>
        <v>313314.12</v>
      </c>
      <c r="G634" s="56">
        <f>300000+21676.92</f>
        <v>321676.92</v>
      </c>
      <c r="H634" s="56">
        <f>300000+21676.92</f>
        <v>321676.92</v>
      </c>
    </row>
    <row r="635" spans="1:8" outlineLevel="5">
      <c r="A635" s="52" t="s">
        <v>41</v>
      </c>
      <c r="B635" s="53" t="s">
        <v>175</v>
      </c>
      <c r="C635" s="53" t="s">
        <v>52</v>
      </c>
      <c r="D635" s="53" t="s">
        <v>145</v>
      </c>
      <c r="E635" s="53" t="s">
        <v>42</v>
      </c>
      <c r="F635" s="59">
        <f>F636</f>
        <v>28370100</v>
      </c>
      <c r="G635" s="59">
        <f t="shared" ref="G635:H635" si="128">G636</f>
        <v>0</v>
      </c>
      <c r="H635" s="59">
        <f t="shared" si="128"/>
        <v>0</v>
      </c>
    </row>
    <row r="636" spans="1:8" ht="31.5" outlineLevel="5">
      <c r="A636" s="52" t="s">
        <v>330</v>
      </c>
      <c r="B636" s="53" t="s">
        <v>175</v>
      </c>
      <c r="C636" s="53" t="s">
        <v>52</v>
      </c>
      <c r="D636" s="53" t="s">
        <v>145</v>
      </c>
      <c r="E636" s="53" t="s">
        <v>331</v>
      </c>
      <c r="F636" s="59">
        <v>28370100</v>
      </c>
      <c r="G636" s="59">
        <v>0</v>
      </c>
      <c r="H636" s="59">
        <v>0</v>
      </c>
    </row>
    <row r="637" spans="1:8" ht="31.5" outlineLevel="5">
      <c r="A637" s="52" t="s">
        <v>256</v>
      </c>
      <c r="B637" s="53" t="s">
        <v>175</v>
      </c>
      <c r="C637" s="53" t="s">
        <v>52</v>
      </c>
      <c r="D637" s="53" t="s">
        <v>145</v>
      </c>
      <c r="E637" s="53" t="s">
        <v>257</v>
      </c>
      <c r="F637" s="56">
        <f>F638</f>
        <v>0</v>
      </c>
      <c r="G637" s="56">
        <f>G638</f>
        <v>0</v>
      </c>
      <c r="H637" s="56">
        <f>H638</f>
        <v>0</v>
      </c>
    </row>
    <row r="638" spans="1:8" outlineLevel="5">
      <c r="A638" s="58" t="s">
        <v>258</v>
      </c>
      <c r="B638" s="53" t="s">
        <v>175</v>
      </c>
      <c r="C638" s="53" t="s">
        <v>52</v>
      </c>
      <c r="D638" s="53" t="s">
        <v>145</v>
      </c>
      <c r="E638" s="53" t="s">
        <v>259</v>
      </c>
      <c r="F638" s="56">
        <f>91234068.92-91234068.92</f>
        <v>0</v>
      </c>
      <c r="G638" s="56">
        <v>0</v>
      </c>
      <c r="H638" s="56">
        <v>0</v>
      </c>
    </row>
    <row r="639" spans="1:8" ht="47.25" outlineLevel="5">
      <c r="A639" s="57" t="s">
        <v>429</v>
      </c>
      <c r="B639" s="53" t="s">
        <v>175</v>
      </c>
      <c r="C639" s="53" t="s">
        <v>52</v>
      </c>
      <c r="D639" s="53" t="s">
        <v>430</v>
      </c>
      <c r="E639" s="53" t="s">
        <v>20</v>
      </c>
      <c r="F639" s="56">
        <f t="shared" ref="F639:H640" si="129">F640</f>
        <v>37862286</v>
      </c>
      <c r="G639" s="17">
        <f t="shared" si="129"/>
        <v>49171800</v>
      </c>
      <c r="H639" s="17">
        <f t="shared" si="129"/>
        <v>49171800</v>
      </c>
    </row>
    <row r="640" spans="1:8" ht="31.5" outlineLevel="5">
      <c r="A640" s="52" t="s">
        <v>256</v>
      </c>
      <c r="B640" s="53" t="s">
        <v>175</v>
      </c>
      <c r="C640" s="53" t="s">
        <v>52</v>
      </c>
      <c r="D640" s="53" t="s">
        <v>430</v>
      </c>
      <c r="E640" s="53" t="s">
        <v>257</v>
      </c>
      <c r="F640" s="56">
        <f t="shared" si="129"/>
        <v>37862286</v>
      </c>
      <c r="G640" s="17">
        <f t="shared" si="129"/>
        <v>49171800</v>
      </c>
      <c r="H640" s="17">
        <f t="shared" si="129"/>
        <v>49171800</v>
      </c>
    </row>
    <row r="641" spans="1:8" outlineLevel="5">
      <c r="A641" s="58" t="s">
        <v>258</v>
      </c>
      <c r="B641" s="53" t="s">
        <v>175</v>
      </c>
      <c r="C641" s="53" t="s">
        <v>52</v>
      </c>
      <c r="D641" s="53" t="s">
        <v>430</v>
      </c>
      <c r="E641" s="53" t="s">
        <v>259</v>
      </c>
      <c r="F641" s="56">
        <f>49171800-11309514</f>
        <v>37862286</v>
      </c>
      <c r="G641" s="17">
        <v>49171800</v>
      </c>
      <c r="H641" s="17">
        <v>49171800</v>
      </c>
    </row>
    <row r="642" spans="1:8" ht="31.5" outlineLevel="5">
      <c r="A642" s="15" t="s">
        <v>23</v>
      </c>
      <c r="B642" s="16" t="s">
        <v>175</v>
      </c>
      <c r="C642" s="16" t="s">
        <v>52</v>
      </c>
      <c r="D642" s="16" t="s">
        <v>24</v>
      </c>
      <c r="E642" s="16" t="s">
        <v>20</v>
      </c>
      <c r="F642" s="17">
        <f t="shared" ref="F642:H645" si="130">F643</f>
        <v>31365856.940000001</v>
      </c>
      <c r="G642" s="17">
        <f t="shared" si="130"/>
        <v>33129630.559999999</v>
      </c>
      <c r="H642" s="17">
        <f t="shared" si="130"/>
        <v>34608658.5</v>
      </c>
    </row>
    <row r="643" spans="1:8" ht="31.5" outlineLevel="5">
      <c r="A643" s="15" t="s">
        <v>25</v>
      </c>
      <c r="B643" s="16" t="s">
        <v>175</v>
      </c>
      <c r="C643" s="16" t="s">
        <v>52</v>
      </c>
      <c r="D643" s="16" t="s">
        <v>26</v>
      </c>
      <c r="E643" s="16" t="s">
        <v>20</v>
      </c>
      <c r="F643" s="17">
        <f t="shared" si="130"/>
        <v>31365856.940000001</v>
      </c>
      <c r="G643" s="17">
        <f t="shared" si="130"/>
        <v>33129630.559999999</v>
      </c>
      <c r="H643" s="17">
        <f t="shared" si="130"/>
        <v>34608658.5</v>
      </c>
    </row>
    <row r="644" spans="1:8" ht="47.25" outlineLevel="5">
      <c r="A644" s="60" t="s">
        <v>431</v>
      </c>
      <c r="B644" s="53" t="s">
        <v>175</v>
      </c>
      <c r="C644" s="53" t="s">
        <v>52</v>
      </c>
      <c r="D644" s="53" t="s">
        <v>432</v>
      </c>
      <c r="E644" s="53" t="s">
        <v>20</v>
      </c>
      <c r="F644" s="56">
        <f t="shared" si="130"/>
        <v>31365856.940000001</v>
      </c>
      <c r="G644" s="56">
        <f t="shared" si="130"/>
        <v>33129630.559999999</v>
      </c>
      <c r="H644" s="56">
        <f t="shared" si="130"/>
        <v>34608658.5</v>
      </c>
    </row>
    <row r="645" spans="1:8" outlineLevel="5">
      <c r="A645" s="52" t="s">
        <v>41</v>
      </c>
      <c r="B645" s="53" t="s">
        <v>175</v>
      </c>
      <c r="C645" s="53" t="s">
        <v>52</v>
      </c>
      <c r="D645" s="53" t="s">
        <v>432</v>
      </c>
      <c r="E645" s="53" t="s">
        <v>42</v>
      </c>
      <c r="F645" s="56">
        <f t="shared" si="130"/>
        <v>31365856.940000001</v>
      </c>
      <c r="G645" s="56">
        <f t="shared" si="130"/>
        <v>33129630.559999999</v>
      </c>
      <c r="H645" s="56">
        <f t="shared" si="130"/>
        <v>34608658.5</v>
      </c>
    </row>
    <row r="646" spans="1:8" outlineLevel="5">
      <c r="A646" s="52" t="s">
        <v>410</v>
      </c>
      <c r="B646" s="53" t="s">
        <v>175</v>
      </c>
      <c r="C646" s="53" t="s">
        <v>52</v>
      </c>
      <c r="D646" s="53" t="s">
        <v>432</v>
      </c>
      <c r="E646" s="53" t="s">
        <v>411</v>
      </c>
      <c r="F646" s="56">
        <f>31280382.57+85474.37</f>
        <v>31365856.940000001</v>
      </c>
      <c r="G646" s="56">
        <f>33366836.06-237205.5</f>
        <v>33129630.559999999</v>
      </c>
      <c r="H646" s="56">
        <f>35071503.38-462844.88</f>
        <v>34608658.5</v>
      </c>
    </row>
    <row r="647" spans="1:8" outlineLevel="5">
      <c r="A647" s="15" t="s">
        <v>433</v>
      </c>
      <c r="B647" s="16" t="s">
        <v>175</v>
      </c>
      <c r="C647" s="16" t="s">
        <v>58</v>
      </c>
      <c r="D647" s="16" t="s">
        <v>19</v>
      </c>
      <c r="E647" s="16" t="s">
        <v>20</v>
      </c>
      <c r="F647" s="17">
        <f>F648+F658</f>
        <v>1666000</v>
      </c>
      <c r="G647" s="17">
        <f>G648+G658</f>
        <v>937000</v>
      </c>
      <c r="H647" s="17">
        <f>H648+H658</f>
        <v>981000</v>
      </c>
    </row>
    <row r="648" spans="1:8" ht="47.25" outlineLevel="5">
      <c r="A648" s="15" t="s">
        <v>75</v>
      </c>
      <c r="B648" s="16" t="s">
        <v>175</v>
      </c>
      <c r="C648" s="16" t="s">
        <v>58</v>
      </c>
      <c r="D648" s="16" t="s">
        <v>76</v>
      </c>
      <c r="E648" s="16" t="s">
        <v>20</v>
      </c>
      <c r="F648" s="17">
        <f>F649</f>
        <v>630000</v>
      </c>
      <c r="G648" s="17">
        <f>G649</f>
        <v>0</v>
      </c>
      <c r="H648" s="17">
        <f>H649</f>
        <v>0</v>
      </c>
    </row>
    <row r="649" spans="1:8" ht="47.25" outlineLevel="5">
      <c r="A649" s="15" t="s">
        <v>77</v>
      </c>
      <c r="B649" s="16" t="s">
        <v>175</v>
      </c>
      <c r="C649" s="16" t="s">
        <v>58</v>
      </c>
      <c r="D649" s="16" t="s">
        <v>78</v>
      </c>
      <c r="E649" s="16" t="s">
        <v>20</v>
      </c>
      <c r="F649" s="17">
        <f>F650+F653</f>
        <v>630000</v>
      </c>
      <c r="G649" s="17">
        <f>G650+G653</f>
        <v>0</v>
      </c>
      <c r="H649" s="17">
        <f>H650+H653</f>
        <v>0</v>
      </c>
    </row>
    <row r="650" spans="1:8" ht="31.5" outlineLevel="5">
      <c r="A650" s="15" t="s">
        <v>434</v>
      </c>
      <c r="B650" s="16" t="s">
        <v>175</v>
      </c>
      <c r="C650" s="16" t="s">
        <v>58</v>
      </c>
      <c r="D650" s="16" t="s">
        <v>435</v>
      </c>
      <c r="E650" s="16" t="s">
        <v>20</v>
      </c>
      <c r="F650" s="17">
        <f t="shared" ref="F650:H651" si="131">F651</f>
        <v>250000</v>
      </c>
      <c r="G650" s="17">
        <f t="shared" si="131"/>
        <v>0</v>
      </c>
      <c r="H650" s="17">
        <f t="shared" si="131"/>
        <v>0</v>
      </c>
    </row>
    <row r="651" spans="1:8" ht="31.5" outlineLevel="5">
      <c r="A651" s="15" t="s">
        <v>298</v>
      </c>
      <c r="B651" s="16" t="s">
        <v>175</v>
      </c>
      <c r="C651" s="16" t="s">
        <v>58</v>
      </c>
      <c r="D651" s="16" t="s">
        <v>435</v>
      </c>
      <c r="E651" s="16" t="s">
        <v>299</v>
      </c>
      <c r="F651" s="17">
        <f t="shared" si="131"/>
        <v>250000</v>
      </c>
      <c r="G651" s="17">
        <f t="shared" si="131"/>
        <v>0</v>
      </c>
      <c r="H651" s="17">
        <f t="shared" si="131"/>
        <v>0</v>
      </c>
    </row>
    <row r="652" spans="1:8" ht="47.25" outlineLevel="5">
      <c r="A652" s="15" t="s">
        <v>436</v>
      </c>
      <c r="B652" s="16" t="s">
        <v>175</v>
      </c>
      <c r="C652" s="16" t="s">
        <v>58</v>
      </c>
      <c r="D652" s="16" t="s">
        <v>435</v>
      </c>
      <c r="E652" s="16" t="s">
        <v>437</v>
      </c>
      <c r="F652" s="17">
        <v>250000</v>
      </c>
      <c r="G652" s="17">
        <v>0</v>
      </c>
      <c r="H652" s="17">
        <v>0</v>
      </c>
    </row>
    <row r="653" spans="1:8" outlineLevel="5">
      <c r="A653" s="15" t="s">
        <v>79</v>
      </c>
      <c r="B653" s="16" t="s">
        <v>175</v>
      </c>
      <c r="C653" s="16" t="s">
        <v>58</v>
      </c>
      <c r="D653" s="16" t="s">
        <v>80</v>
      </c>
      <c r="E653" s="16" t="s">
        <v>20</v>
      </c>
      <c r="F653" s="19">
        <f>F654+F657</f>
        <v>380000</v>
      </c>
      <c r="G653" s="19">
        <f>G654+G657</f>
        <v>0</v>
      </c>
      <c r="H653" s="19">
        <f>H654+H657</f>
        <v>0</v>
      </c>
    </row>
    <row r="654" spans="1:8" ht="31.5" outlineLevel="5">
      <c r="A654" s="15" t="s">
        <v>37</v>
      </c>
      <c r="B654" s="16" t="s">
        <v>175</v>
      </c>
      <c r="C654" s="16" t="s">
        <v>58</v>
      </c>
      <c r="D654" s="16" t="s">
        <v>80</v>
      </c>
      <c r="E654" s="16" t="s">
        <v>38</v>
      </c>
      <c r="F654" s="19">
        <f>F655</f>
        <v>300000</v>
      </c>
      <c r="G654" s="19">
        <f>G655</f>
        <v>0</v>
      </c>
      <c r="H654" s="19">
        <f>H655</f>
        <v>0</v>
      </c>
    </row>
    <row r="655" spans="1:8" ht="31.5" outlineLevel="5">
      <c r="A655" s="15" t="s">
        <v>39</v>
      </c>
      <c r="B655" s="16" t="s">
        <v>175</v>
      </c>
      <c r="C655" s="16" t="s">
        <v>58</v>
      </c>
      <c r="D655" s="16" t="s">
        <v>80</v>
      </c>
      <c r="E655" s="16" t="s">
        <v>40</v>
      </c>
      <c r="F655" s="19">
        <v>300000</v>
      </c>
      <c r="G655" s="19">
        <v>0</v>
      </c>
      <c r="H655" s="19">
        <v>0</v>
      </c>
    </row>
    <row r="656" spans="1:8" outlineLevel="5">
      <c r="A656" s="15" t="s">
        <v>41</v>
      </c>
      <c r="B656" s="16" t="s">
        <v>175</v>
      </c>
      <c r="C656" s="16" t="s">
        <v>58</v>
      </c>
      <c r="D656" s="16" t="s">
        <v>80</v>
      </c>
      <c r="E656" s="16" t="s">
        <v>42</v>
      </c>
      <c r="F656" s="19">
        <f>F657</f>
        <v>80000</v>
      </c>
      <c r="G656" s="19">
        <f>G657</f>
        <v>0</v>
      </c>
      <c r="H656" s="19">
        <f>H657</f>
        <v>0</v>
      </c>
    </row>
    <row r="657" spans="1:8" outlineLevel="5">
      <c r="A657" s="15" t="s">
        <v>386</v>
      </c>
      <c r="B657" s="16" t="s">
        <v>175</v>
      </c>
      <c r="C657" s="16" t="s">
        <v>58</v>
      </c>
      <c r="D657" s="16" t="s">
        <v>80</v>
      </c>
      <c r="E657" s="16" t="s">
        <v>387</v>
      </c>
      <c r="F657" s="19">
        <v>80000</v>
      </c>
      <c r="G657" s="19">
        <v>0</v>
      </c>
      <c r="H657" s="19">
        <v>0</v>
      </c>
    </row>
    <row r="658" spans="1:8" ht="31.5" outlineLevel="5">
      <c r="A658" s="48" t="s">
        <v>438</v>
      </c>
      <c r="B658" s="16" t="s">
        <v>175</v>
      </c>
      <c r="C658" s="16" t="s">
        <v>58</v>
      </c>
      <c r="D658" s="16" t="s">
        <v>439</v>
      </c>
      <c r="E658" s="16" t="s">
        <v>20</v>
      </c>
      <c r="F658" s="19">
        <f>F659</f>
        <v>1036000</v>
      </c>
      <c r="G658" s="19">
        <f>G659</f>
        <v>937000</v>
      </c>
      <c r="H658" s="19">
        <f>H659</f>
        <v>981000</v>
      </c>
    </row>
    <row r="659" spans="1:8" ht="31.5" outlineLevel="5">
      <c r="A659" s="48" t="s">
        <v>440</v>
      </c>
      <c r="B659" s="16" t="s">
        <v>175</v>
      </c>
      <c r="C659" s="16" t="s">
        <v>58</v>
      </c>
      <c r="D659" s="16" t="s">
        <v>441</v>
      </c>
      <c r="E659" s="16" t="s">
        <v>20</v>
      </c>
      <c r="F659" s="19">
        <f>F660+F665</f>
        <v>1036000</v>
      </c>
      <c r="G659" s="19">
        <f>G660+G665</f>
        <v>937000</v>
      </c>
      <c r="H659" s="19">
        <f>H660+H665</f>
        <v>981000</v>
      </c>
    </row>
    <row r="660" spans="1:8" outlineLevel="5">
      <c r="A660" s="15" t="s">
        <v>442</v>
      </c>
      <c r="B660" s="16" t="s">
        <v>175</v>
      </c>
      <c r="C660" s="16" t="s">
        <v>58</v>
      </c>
      <c r="D660" s="16" t="s">
        <v>443</v>
      </c>
      <c r="E660" s="16" t="s">
        <v>20</v>
      </c>
      <c r="F660" s="19">
        <f>F661+F663</f>
        <v>786000</v>
      </c>
      <c r="G660" s="19">
        <f>G661+G663</f>
        <v>687000</v>
      </c>
      <c r="H660" s="19">
        <f>H661+H663</f>
        <v>731000</v>
      </c>
    </row>
    <row r="661" spans="1:8" ht="31.5" outlineLevel="5">
      <c r="A661" s="15" t="s">
        <v>37</v>
      </c>
      <c r="B661" s="16" t="s">
        <v>175</v>
      </c>
      <c r="C661" s="16" t="s">
        <v>58</v>
      </c>
      <c r="D661" s="16" t="s">
        <v>443</v>
      </c>
      <c r="E661" s="16" t="s">
        <v>38</v>
      </c>
      <c r="F661" s="19">
        <f>F662</f>
        <v>508000</v>
      </c>
      <c r="G661" s="19">
        <f>G662</f>
        <v>403000</v>
      </c>
      <c r="H661" s="19">
        <f>H662</f>
        <v>447000</v>
      </c>
    </row>
    <row r="662" spans="1:8" ht="31.5" outlineLevel="5">
      <c r="A662" s="15" t="s">
        <v>39</v>
      </c>
      <c r="B662" s="16" t="s">
        <v>175</v>
      </c>
      <c r="C662" s="16" t="s">
        <v>58</v>
      </c>
      <c r="D662" s="16" t="s">
        <v>443</v>
      </c>
      <c r="E662" s="16" t="s">
        <v>40</v>
      </c>
      <c r="F662" s="19">
        <v>508000</v>
      </c>
      <c r="G662" s="19">
        <v>403000</v>
      </c>
      <c r="H662" s="19">
        <v>447000</v>
      </c>
    </row>
    <row r="663" spans="1:8" ht="31.5" outlineLevel="5">
      <c r="A663" s="15" t="s">
        <v>298</v>
      </c>
      <c r="B663" s="16" t="s">
        <v>175</v>
      </c>
      <c r="C663" s="16" t="s">
        <v>58</v>
      </c>
      <c r="D663" s="16" t="s">
        <v>443</v>
      </c>
      <c r="E663" s="16" t="s">
        <v>299</v>
      </c>
      <c r="F663" s="19">
        <f>F664</f>
        <v>278000</v>
      </c>
      <c r="G663" s="19">
        <f>G664</f>
        <v>284000</v>
      </c>
      <c r="H663" s="19">
        <f>H664</f>
        <v>284000</v>
      </c>
    </row>
    <row r="664" spans="1:8" outlineLevel="5">
      <c r="A664" s="15" t="s">
        <v>300</v>
      </c>
      <c r="B664" s="16" t="s">
        <v>175</v>
      </c>
      <c r="C664" s="16" t="s">
        <v>58</v>
      </c>
      <c r="D664" s="16" t="s">
        <v>443</v>
      </c>
      <c r="E664" s="16" t="s">
        <v>301</v>
      </c>
      <c r="F664" s="19">
        <v>278000</v>
      </c>
      <c r="G664" s="19">
        <v>284000</v>
      </c>
      <c r="H664" s="19">
        <v>284000</v>
      </c>
    </row>
    <row r="665" spans="1:8" ht="78.75" outlineLevel="5">
      <c r="A665" s="15" t="s">
        <v>444</v>
      </c>
      <c r="B665" s="16" t="s">
        <v>175</v>
      </c>
      <c r="C665" s="16" t="s">
        <v>58</v>
      </c>
      <c r="D665" s="16" t="s">
        <v>445</v>
      </c>
      <c r="E665" s="16" t="s">
        <v>20</v>
      </c>
      <c r="F665" s="19">
        <f t="shared" ref="F665:H666" si="132">F666</f>
        <v>250000</v>
      </c>
      <c r="G665" s="19">
        <f t="shared" si="132"/>
        <v>250000</v>
      </c>
      <c r="H665" s="19">
        <f t="shared" si="132"/>
        <v>250000</v>
      </c>
    </row>
    <row r="666" spans="1:8" ht="31.5" outlineLevel="5">
      <c r="A666" s="15" t="s">
        <v>298</v>
      </c>
      <c r="B666" s="16" t="s">
        <v>175</v>
      </c>
      <c r="C666" s="16" t="s">
        <v>58</v>
      </c>
      <c r="D666" s="16" t="s">
        <v>445</v>
      </c>
      <c r="E666" s="16" t="s">
        <v>299</v>
      </c>
      <c r="F666" s="19">
        <f t="shared" si="132"/>
        <v>250000</v>
      </c>
      <c r="G666" s="19">
        <f t="shared" si="132"/>
        <v>250000</v>
      </c>
      <c r="H666" s="19">
        <f t="shared" si="132"/>
        <v>250000</v>
      </c>
    </row>
    <row r="667" spans="1:8" ht="47.25" outlineLevel="5">
      <c r="A667" s="15" t="s">
        <v>436</v>
      </c>
      <c r="B667" s="16" t="s">
        <v>175</v>
      </c>
      <c r="C667" s="16" t="s">
        <v>58</v>
      </c>
      <c r="D667" s="16" t="s">
        <v>445</v>
      </c>
      <c r="E667" s="16" t="s">
        <v>437</v>
      </c>
      <c r="F667" s="19">
        <v>250000</v>
      </c>
      <c r="G667" s="19">
        <v>250000</v>
      </c>
      <c r="H667" s="19">
        <v>250000</v>
      </c>
    </row>
    <row r="668" spans="1:8" s="14" customFormat="1">
      <c r="A668" s="11" t="s">
        <v>446</v>
      </c>
      <c r="B668" s="12" t="s">
        <v>62</v>
      </c>
      <c r="C668" s="12" t="s">
        <v>18</v>
      </c>
      <c r="D668" s="12" t="s">
        <v>19</v>
      </c>
      <c r="E668" s="12" t="s">
        <v>20</v>
      </c>
      <c r="F668" s="13">
        <f>F669+F675</f>
        <v>145743442.07999998</v>
      </c>
      <c r="G668" s="13">
        <f>G669+G675</f>
        <v>121972256.31999999</v>
      </c>
      <c r="H668" s="13">
        <f>H669+H675</f>
        <v>584727731.63</v>
      </c>
    </row>
    <row r="669" spans="1:8" s="14" customFormat="1">
      <c r="A669" s="15" t="s">
        <v>447</v>
      </c>
      <c r="B669" s="16" t="s">
        <v>62</v>
      </c>
      <c r="C669" s="16" t="s">
        <v>17</v>
      </c>
      <c r="D669" s="16" t="s">
        <v>19</v>
      </c>
      <c r="E669" s="16" t="s">
        <v>20</v>
      </c>
      <c r="F669" s="19">
        <f t="shared" ref="F669:H673" si="133">F670</f>
        <v>984848.48</v>
      </c>
      <c r="G669" s="19">
        <f t="shared" si="133"/>
        <v>1500000</v>
      </c>
      <c r="H669" s="19">
        <f t="shared" si="133"/>
        <v>0</v>
      </c>
    </row>
    <row r="670" spans="1:8" s="14" customFormat="1" ht="47.25">
      <c r="A670" s="15" t="s">
        <v>448</v>
      </c>
      <c r="B670" s="16" t="s">
        <v>62</v>
      </c>
      <c r="C670" s="16" t="s">
        <v>17</v>
      </c>
      <c r="D670" s="16" t="s">
        <v>449</v>
      </c>
      <c r="E670" s="16" t="s">
        <v>20</v>
      </c>
      <c r="F670" s="17">
        <f t="shared" si="133"/>
        <v>984848.48</v>
      </c>
      <c r="G670" s="17">
        <f t="shared" si="133"/>
        <v>1500000</v>
      </c>
      <c r="H670" s="17">
        <f t="shared" si="133"/>
        <v>0</v>
      </c>
    </row>
    <row r="671" spans="1:8" s="14" customFormat="1" ht="47.25">
      <c r="A671" s="15" t="s">
        <v>450</v>
      </c>
      <c r="B671" s="16" t="s">
        <v>62</v>
      </c>
      <c r="C671" s="16" t="s">
        <v>17</v>
      </c>
      <c r="D671" s="16" t="s">
        <v>451</v>
      </c>
      <c r="E671" s="16" t="s">
        <v>20</v>
      </c>
      <c r="F671" s="17">
        <f t="shared" si="133"/>
        <v>984848.48</v>
      </c>
      <c r="G671" s="17">
        <f t="shared" si="133"/>
        <v>1500000</v>
      </c>
      <c r="H671" s="17">
        <f t="shared" si="133"/>
        <v>0</v>
      </c>
    </row>
    <row r="672" spans="1:8" s="14" customFormat="1">
      <c r="A672" s="52" t="s">
        <v>452</v>
      </c>
      <c r="B672" s="53" t="s">
        <v>62</v>
      </c>
      <c r="C672" s="53" t="s">
        <v>17</v>
      </c>
      <c r="D672" s="53" t="s">
        <v>453</v>
      </c>
      <c r="E672" s="53" t="s">
        <v>20</v>
      </c>
      <c r="F672" s="56">
        <f t="shared" si="133"/>
        <v>984848.48</v>
      </c>
      <c r="G672" s="17">
        <f t="shared" si="133"/>
        <v>1500000</v>
      </c>
      <c r="H672" s="17">
        <f t="shared" si="133"/>
        <v>0</v>
      </c>
    </row>
    <row r="673" spans="1:8" s="14" customFormat="1" ht="31.5">
      <c r="A673" s="52" t="s">
        <v>37</v>
      </c>
      <c r="B673" s="53" t="s">
        <v>62</v>
      </c>
      <c r="C673" s="53" t="s">
        <v>17</v>
      </c>
      <c r="D673" s="53" t="s">
        <v>453</v>
      </c>
      <c r="E673" s="53" t="s">
        <v>38</v>
      </c>
      <c r="F673" s="56">
        <f t="shared" si="133"/>
        <v>984848.48</v>
      </c>
      <c r="G673" s="17">
        <f t="shared" si="133"/>
        <v>1500000</v>
      </c>
      <c r="H673" s="17">
        <f t="shared" si="133"/>
        <v>0</v>
      </c>
    </row>
    <row r="674" spans="1:8" s="14" customFormat="1" ht="31.5">
      <c r="A674" s="52" t="s">
        <v>39</v>
      </c>
      <c r="B674" s="53" t="s">
        <v>62</v>
      </c>
      <c r="C674" s="53" t="s">
        <v>17</v>
      </c>
      <c r="D674" s="53" t="s">
        <v>453</v>
      </c>
      <c r="E674" s="53" t="s">
        <v>40</v>
      </c>
      <c r="F674" s="56">
        <f>1000000-15151.52</f>
        <v>984848.48</v>
      </c>
      <c r="G674" s="17">
        <v>1500000</v>
      </c>
      <c r="H674" s="17">
        <v>0</v>
      </c>
    </row>
    <row r="675" spans="1:8" s="14" customFormat="1">
      <c r="A675" s="15" t="s">
        <v>454</v>
      </c>
      <c r="B675" s="16" t="s">
        <v>62</v>
      </c>
      <c r="C675" s="16" t="s">
        <v>22</v>
      </c>
      <c r="D675" s="16" t="s">
        <v>19</v>
      </c>
      <c r="E675" s="16" t="s">
        <v>20</v>
      </c>
      <c r="F675" s="17">
        <f t="shared" ref="F675:H676" si="134">F676</f>
        <v>144758593.59999999</v>
      </c>
      <c r="G675" s="17">
        <f t="shared" si="134"/>
        <v>120472256.31999999</v>
      </c>
      <c r="H675" s="17">
        <f t="shared" si="134"/>
        <v>584727731.63</v>
      </c>
    </row>
    <row r="676" spans="1:8" s="14" customFormat="1" ht="47.25">
      <c r="A676" s="15" t="s">
        <v>448</v>
      </c>
      <c r="B676" s="16" t="s">
        <v>62</v>
      </c>
      <c r="C676" s="16" t="s">
        <v>22</v>
      </c>
      <c r="D676" s="16" t="s">
        <v>449</v>
      </c>
      <c r="E676" s="16" t="s">
        <v>20</v>
      </c>
      <c r="F676" s="17">
        <f t="shared" si="134"/>
        <v>144758593.59999999</v>
      </c>
      <c r="G676" s="17">
        <f t="shared" si="134"/>
        <v>120472256.31999999</v>
      </c>
      <c r="H676" s="17">
        <f t="shared" si="134"/>
        <v>584727731.63</v>
      </c>
    </row>
    <row r="677" spans="1:8" s="14" customFormat="1" ht="47.25">
      <c r="A677" s="15" t="s">
        <v>450</v>
      </c>
      <c r="B677" s="16" t="s">
        <v>62</v>
      </c>
      <c r="C677" s="16" t="s">
        <v>22</v>
      </c>
      <c r="D677" s="16" t="s">
        <v>451</v>
      </c>
      <c r="E677" s="16" t="s">
        <v>20</v>
      </c>
      <c r="F677" s="17">
        <f>F678+F681+F684+F687+F690</f>
        <v>144758593.59999999</v>
      </c>
      <c r="G677" s="17">
        <f t="shared" ref="G677:H677" si="135">G678+G681+G684+G687+G690</f>
        <v>120472256.31999999</v>
      </c>
      <c r="H677" s="17">
        <f t="shared" si="135"/>
        <v>584727731.63</v>
      </c>
    </row>
    <row r="678" spans="1:8" s="14" customFormat="1">
      <c r="A678" s="52" t="s">
        <v>452</v>
      </c>
      <c r="B678" s="53" t="s">
        <v>62</v>
      </c>
      <c r="C678" s="53" t="s">
        <v>22</v>
      </c>
      <c r="D678" s="53" t="s">
        <v>453</v>
      </c>
      <c r="E678" s="53" t="s">
        <v>20</v>
      </c>
      <c r="F678" s="56">
        <f t="shared" ref="F678:H679" si="136">F679</f>
        <v>1581697.2</v>
      </c>
      <c r="G678" s="17">
        <f t="shared" si="136"/>
        <v>200000</v>
      </c>
      <c r="H678" s="17">
        <f t="shared" si="136"/>
        <v>0</v>
      </c>
    </row>
    <row r="679" spans="1:8" s="14" customFormat="1" ht="31.5">
      <c r="A679" s="52" t="s">
        <v>37</v>
      </c>
      <c r="B679" s="53" t="s">
        <v>62</v>
      </c>
      <c r="C679" s="53" t="s">
        <v>22</v>
      </c>
      <c r="D679" s="53" t="s">
        <v>453</v>
      </c>
      <c r="E679" s="53" t="s">
        <v>38</v>
      </c>
      <c r="F679" s="56">
        <f t="shared" si="136"/>
        <v>1581697.2</v>
      </c>
      <c r="G679" s="17">
        <f t="shared" si="136"/>
        <v>200000</v>
      </c>
      <c r="H679" s="17">
        <f t="shared" si="136"/>
        <v>0</v>
      </c>
    </row>
    <row r="680" spans="1:8" s="14" customFormat="1" ht="31.5">
      <c r="A680" s="52" t="s">
        <v>39</v>
      </c>
      <c r="B680" s="53" t="s">
        <v>62</v>
      </c>
      <c r="C680" s="53" t="s">
        <v>22</v>
      </c>
      <c r="D680" s="53" t="s">
        <v>453</v>
      </c>
      <c r="E680" s="53" t="s">
        <v>40</v>
      </c>
      <c r="F680" s="56">
        <f>200000-118302.8+1500000</f>
        <v>1581697.2</v>
      </c>
      <c r="G680" s="17">
        <v>200000</v>
      </c>
      <c r="H680" s="17">
        <v>0</v>
      </c>
    </row>
    <row r="681" spans="1:8" s="14" customFormat="1" ht="31.5">
      <c r="A681" s="15" t="s">
        <v>455</v>
      </c>
      <c r="B681" s="16" t="s">
        <v>62</v>
      </c>
      <c r="C681" s="16" t="s">
        <v>22</v>
      </c>
      <c r="D681" s="16" t="s">
        <v>456</v>
      </c>
      <c r="E681" s="16" t="s">
        <v>20</v>
      </c>
      <c r="F681" s="17">
        <f t="shared" ref="F681:H682" si="137">F682</f>
        <v>94919.19</v>
      </c>
      <c r="G681" s="17">
        <f t="shared" si="137"/>
        <v>272256.32</v>
      </c>
      <c r="H681" s="17">
        <f t="shared" si="137"/>
        <v>272503.63</v>
      </c>
    </row>
    <row r="682" spans="1:8" s="14" customFormat="1" ht="31.5">
      <c r="A682" s="15" t="s">
        <v>37</v>
      </c>
      <c r="B682" s="16" t="s">
        <v>62</v>
      </c>
      <c r="C682" s="16" t="s">
        <v>22</v>
      </c>
      <c r="D682" s="16" t="s">
        <v>456</v>
      </c>
      <c r="E682" s="16" t="s">
        <v>38</v>
      </c>
      <c r="F682" s="17">
        <f t="shared" si="137"/>
        <v>94919.19</v>
      </c>
      <c r="G682" s="17">
        <f t="shared" si="137"/>
        <v>272256.32</v>
      </c>
      <c r="H682" s="17">
        <f t="shared" si="137"/>
        <v>272503.63</v>
      </c>
    </row>
    <row r="683" spans="1:8" s="14" customFormat="1" ht="31.5">
      <c r="A683" s="15" t="s">
        <v>39</v>
      </c>
      <c r="B683" s="16" t="s">
        <v>62</v>
      </c>
      <c r="C683" s="16" t="s">
        <v>22</v>
      </c>
      <c r="D683" s="16" t="s">
        <v>456</v>
      </c>
      <c r="E683" s="16" t="s">
        <v>40</v>
      </c>
      <c r="F683" s="17">
        <f>2847.58+92071.61</f>
        <v>94919.19</v>
      </c>
      <c r="G683" s="17">
        <f>8167.69+264088.63</f>
        <v>272256.32</v>
      </c>
      <c r="H683" s="17">
        <f>8175.11+264328.52</f>
        <v>272503.63</v>
      </c>
    </row>
    <row r="684" spans="1:8" s="14" customFormat="1" ht="31.5">
      <c r="A684" s="52" t="s">
        <v>457</v>
      </c>
      <c r="B684" s="53" t="s">
        <v>62</v>
      </c>
      <c r="C684" s="53" t="s">
        <v>22</v>
      </c>
      <c r="D684" s="53" t="s">
        <v>458</v>
      </c>
      <c r="E684" s="53" t="s">
        <v>20</v>
      </c>
      <c r="F684" s="56">
        <f t="shared" ref="F684:H685" si="138">F685</f>
        <v>58500</v>
      </c>
      <c r="G684" s="56">
        <f t="shared" si="138"/>
        <v>0</v>
      </c>
      <c r="H684" s="56">
        <f t="shared" si="138"/>
        <v>0</v>
      </c>
    </row>
    <row r="685" spans="1:8" s="14" customFormat="1" ht="31.5">
      <c r="A685" s="52" t="s">
        <v>37</v>
      </c>
      <c r="B685" s="53" t="s">
        <v>62</v>
      </c>
      <c r="C685" s="53" t="s">
        <v>22</v>
      </c>
      <c r="D685" s="53" t="s">
        <v>458</v>
      </c>
      <c r="E685" s="53" t="s">
        <v>38</v>
      </c>
      <c r="F685" s="56">
        <f t="shared" si="138"/>
        <v>58500</v>
      </c>
      <c r="G685" s="56">
        <f t="shared" si="138"/>
        <v>0</v>
      </c>
      <c r="H685" s="56">
        <f t="shared" si="138"/>
        <v>0</v>
      </c>
    </row>
    <row r="686" spans="1:8" s="14" customFormat="1" ht="31.5">
      <c r="A686" s="52" t="s">
        <v>39</v>
      </c>
      <c r="B686" s="53" t="s">
        <v>62</v>
      </c>
      <c r="C686" s="53" t="s">
        <v>22</v>
      </c>
      <c r="D686" s="53" t="s">
        <v>458</v>
      </c>
      <c r="E686" s="53" t="s">
        <v>40</v>
      </c>
      <c r="F686" s="56">
        <f>58500+1891500-1891500</f>
        <v>58500</v>
      </c>
      <c r="G686" s="56">
        <v>0</v>
      </c>
      <c r="H686" s="56">
        <v>0</v>
      </c>
    </row>
    <row r="687" spans="1:8" s="14" customFormat="1" ht="31.5">
      <c r="A687" s="52" t="s">
        <v>459</v>
      </c>
      <c r="B687" s="53" t="s">
        <v>62</v>
      </c>
      <c r="C687" s="53" t="s">
        <v>22</v>
      </c>
      <c r="D687" s="53" t="s">
        <v>460</v>
      </c>
      <c r="E687" s="53" t="s">
        <v>20</v>
      </c>
      <c r="F687" s="56">
        <f t="shared" ref="F687:H688" si="139">F688</f>
        <v>141508325.69</v>
      </c>
      <c r="G687" s="56">
        <f t="shared" si="139"/>
        <v>120000000</v>
      </c>
      <c r="H687" s="56">
        <f t="shared" si="139"/>
        <v>584455228</v>
      </c>
    </row>
    <row r="688" spans="1:8" s="14" customFormat="1" ht="31.5">
      <c r="A688" s="52" t="s">
        <v>256</v>
      </c>
      <c r="B688" s="53" t="s">
        <v>62</v>
      </c>
      <c r="C688" s="53" t="s">
        <v>22</v>
      </c>
      <c r="D688" s="53" t="s">
        <v>460</v>
      </c>
      <c r="E688" s="53" t="s">
        <v>257</v>
      </c>
      <c r="F688" s="56">
        <f t="shared" si="139"/>
        <v>141508325.69</v>
      </c>
      <c r="G688" s="56">
        <f t="shared" si="139"/>
        <v>120000000</v>
      </c>
      <c r="H688" s="56">
        <f t="shared" si="139"/>
        <v>584455228</v>
      </c>
    </row>
    <row r="689" spans="1:8" s="14" customFormat="1">
      <c r="A689" s="58" t="s">
        <v>258</v>
      </c>
      <c r="B689" s="53" t="s">
        <v>62</v>
      </c>
      <c r="C689" s="53" t="s">
        <v>22</v>
      </c>
      <c r="D689" s="53" t="s">
        <v>460</v>
      </c>
      <c r="E689" s="53" t="s">
        <v>259</v>
      </c>
      <c r="F689" s="56">
        <f>1013763.81+125706711.88+14669547.2+118302.8</f>
        <v>141508325.69</v>
      </c>
      <c r="G689" s="56">
        <v>120000000</v>
      </c>
      <c r="H689" s="56">
        <v>584455228</v>
      </c>
    </row>
    <row r="690" spans="1:8" s="14" customFormat="1" ht="31.5">
      <c r="A690" s="82" t="s">
        <v>479</v>
      </c>
      <c r="B690" s="53" t="s">
        <v>62</v>
      </c>
      <c r="C690" s="53" t="s">
        <v>22</v>
      </c>
      <c r="D690" s="53" t="s">
        <v>481</v>
      </c>
      <c r="E690" s="53" t="s">
        <v>20</v>
      </c>
      <c r="F690" s="59">
        <f>F691</f>
        <v>1515151.52</v>
      </c>
      <c r="G690" s="59">
        <f t="shared" ref="G690:H691" si="140">G691</f>
        <v>0</v>
      </c>
      <c r="H690" s="59">
        <f t="shared" si="140"/>
        <v>0</v>
      </c>
    </row>
    <row r="691" spans="1:8" s="14" customFormat="1" ht="31.5">
      <c r="A691" s="52" t="s">
        <v>37</v>
      </c>
      <c r="B691" s="53" t="s">
        <v>62</v>
      </c>
      <c r="C691" s="53" t="s">
        <v>22</v>
      </c>
      <c r="D691" s="53" t="s">
        <v>481</v>
      </c>
      <c r="E691" s="53" t="s">
        <v>38</v>
      </c>
      <c r="F691" s="59">
        <f>F692</f>
        <v>1515151.52</v>
      </c>
      <c r="G691" s="59">
        <f t="shared" si="140"/>
        <v>0</v>
      </c>
      <c r="H691" s="59">
        <f t="shared" si="140"/>
        <v>0</v>
      </c>
    </row>
    <row r="692" spans="1:8" s="14" customFormat="1" ht="31.5">
      <c r="A692" s="52" t="s">
        <v>39</v>
      </c>
      <c r="B692" s="53" t="s">
        <v>62</v>
      </c>
      <c r="C692" s="53" t="s">
        <v>22</v>
      </c>
      <c r="D692" s="53" t="s">
        <v>481</v>
      </c>
      <c r="E692" s="53" t="s">
        <v>40</v>
      </c>
      <c r="F692" s="59">
        <f>1500000+15151.52</f>
        <v>1515151.52</v>
      </c>
      <c r="G692" s="59">
        <v>0</v>
      </c>
      <c r="H692" s="59">
        <v>0</v>
      </c>
    </row>
    <row r="693" spans="1:8" outlineLevel="5">
      <c r="A693" s="46" t="s">
        <v>461</v>
      </c>
      <c r="B693" s="12" t="s">
        <v>216</v>
      </c>
      <c r="C693" s="12" t="s">
        <v>18</v>
      </c>
      <c r="D693" s="12" t="s">
        <v>19</v>
      </c>
      <c r="E693" s="12" t="s">
        <v>20</v>
      </c>
      <c r="F693" s="13">
        <f t="shared" ref="F693:H698" si="141">F694</f>
        <v>2680300</v>
      </c>
      <c r="G693" s="13">
        <f t="shared" si="141"/>
        <v>2680300</v>
      </c>
      <c r="H693" s="13">
        <f t="shared" si="141"/>
        <v>0</v>
      </c>
    </row>
    <row r="694" spans="1:8" outlineLevel="5">
      <c r="A694" s="15" t="s">
        <v>462</v>
      </c>
      <c r="B694" s="16" t="s">
        <v>216</v>
      </c>
      <c r="C694" s="16" t="s">
        <v>22</v>
      </c>
      <c r="D694" s="16" t="s">
        <v>19</v>
      </c>
      <c r="E694" s="16" t="s">
        <v>20</v>
      </c>
      <c r="F694" s="17">
        <f t="shared" si="141"/>
        <v>2680300</v>
      </c>
      <c r="G694" s="17">
        <f t="shared" si="141"/>
        <v>2680300</v>
      </c>
      <c r="H694" s="17">
        <f t="shared" si="141"/>
        <v>0</v>
      </c>
    </row>
    <row r="695" spans="1:8" ht="31.5" outlineLevel="5">
      <c r="A695" s="20" t="s">
        <v>90</v>
      </c>
      <c r="B695" s="16" t="s">
        <v>216</v>
      </c>
      <c r="C695" s="16" t="s">
        <v>22</v>
      </c>
      <c r="D695" s="16" t="s">
        <v>91</v>
      </c>
      <c r="E695" s="16" t="s">
        <v>20</v>
      </c>
      <c r="F695" s="19">
        <f t="shared" si="141"/>
        <v>2680300</v>
      </c>
      <c r="G695" s="19">
        <f t="shared" si="141"/>
        <v>2680300</v>
      </c>
      <c r="H695" s="19">
        <f t="shared" si="141"/>
        <v>0</v>
      </c>
    </row>
    <row r="696" spans="1:8" ht="30.75" customHeight="1" outlineLevel="5">
      <c r="A696" s="15" t="s">
        <v>92</v>
      </c>
      <c r="B696" s="16" t="s">
        <v>216</v>
      </c>
      <c r="C696" s="16" t="s">
        <v>22</v>
      </c>
      <c r="D696" s="16" t="s">
        <v>93</v>
      </c>
      <c r="E696" s="16" t="s">
        <v>20</v>
      </c>
      <c r="F696" s="19">
        <f t="shared" si="141"/>
        <v>2680300</v>
      </c>
      <c r="G696" s="19">
        <f t="shared" si="141"/>
        <v>2680300</v>
      </c>
      <c r="H696" s="19">
        <f t="shared" si="141"/>
        <v>0</v>
      </c>
    </row>
    <row r="697" spans="1:8" outlineLevel="5">
      <c r="A697" s="28" t="s">
        <v>463</v>
      </c>
      <c r="B697" s="16" t="s">
        <v>216</v>
      </c>
      <c r="C697" s="16" t="s">
        <v>22</v>
      </c>
      <c r="D697" s="16" t="s">
        <v>464</v>
      </c>
      <c r="E697" s="16" t="s">
        <v>20</v>
      </c>
      <c r="F697" s="19">
        <f t="shared" si="141"/>
        <v>2680300</v>
      </c>
      <c r="G697" s="19">
        <f t="shared" si="141"/>
        <v>2680300</v>
      </c>
      <c r="H697" s="19">
        <f t="shared" si="141"/>
        <v>0</v>
      </c>
    </row>
    <row r="698" spans="1:8" ht="31.5" outlineLevel="5">
      <c r="A698" s="15" t="s">
        <v>298</v>
      </c>
      <c r="B698" s="16" t="s">
        <v>216</v>
      </c>
      <c r="C698" s="16" t="s">
        <v>22</v>
      </c>
      <c r="D698" s="16" t="s">
        <v>464</v>
      </c>
      <c r="E698" s="16" t="s">
        <v>299</v>
      </c>
      <c r="F698" s="19">
        <f t="shared" si="141"/>
        <v>2680300</v>
      </c>
      <c r="G698" s="19">
        <f t="shared" si="141"/>
        <v>2680300</v>
      </c>
      <c r="H698" s="19">
        <f t="shared" si="141"/>
        <v>0</v>
      </c>
    </row>
    <row r="699" spans="1:8" outlineLevel="5">
      <c r="A699" s="15" t="s">
        <v>465</v>
      </c>
      <c r="B699" s="16" t="s">
        <v>216</v>
      </c>
      <c r="C699" s="16" t="s">
        <v>22</v>
      </c>
      <c r="D699" s="16" t="s">
        <v>464</v>
      </c>
      <c r="E699" s="16" t="s">
        <v>466</v>
      </c>
      <c r="F699" s="19">
        <v>2680300</v>
      </c>
      <c r="G699" s="19">
        <v>2680300</v>
      </c>
      <c r="H699" s="19">
        <v>0</v>
      </c>
    </row>
    <row r="700" spans="1:8" ht="24" customHeight="1">
      <c r="A700" s="159" t="s">
        <v>467</v>
      </c>
      <c r="B700" s="159"/>
      <c r="C700" s="159"/>
      <c r="D700" s="159"/>
      <c r="E700" s="159"/>
      <c r="F700" s="49">
        <f>F18+F207+F215+F228+F283+F365+F538+F586+F668+F693</f>
        <v>2162146386.8600001</v>
      </c>
      <c r="G700" s="49">
        <f>G18+G207+G215+G228+G283+G365+G538+G586+G668+G693</f>
        <v>2050959774.6300001</v>
      </c>
      <c r="H700" s="49">
        <f>H18+H207+H215+H228+H283+H365+H538+H586+H668+H693</f>
        <v>2782138265.3499999</v>
      </c>
    </row>
    <row r="701" spans="1:8">
      <c r="F701" s="50"/>
    </row>
    <row r="702" spans="1:8">
      <c r="G702" s="51"/>
      <c r="H702" s="51"/>
    </row>
  </sheetData>
  <autoFilter ref="A17:H700"/>
  <mergeCells count="9">
    <mergeCell ref="A700:E700"/>
    <mergeCell ref="A12:H12"/>
    <mergeCell ref="A13:H13"/>
    <mergeCell ref="A15:A16"/>
    <mergeCell ref="B15:B16"/>
    <mergeCell ref="C15:C16"/>
    <mergeCell ref="D15:D16"/>
    <mergeCell ref="E15:E16"/>
    <mergeCell ref="F15:H15"/>
  </mergeCells>
  <pageMargins left="0.39374999999999999" right="0.39374999999999999" top="0.59027777777777801" bottom="0.39374999999999999" header="0.196527777777778" footer="0.511811023622047"/>
  <pageSetup paperSize="9" fitToHeight="0" orientation="landscape" horizontalDpi="300" verticalDpi="300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(1)</vt:lpstr>
      <vt:lpstr>'Документ (1)'!Заголовки_для_печати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Revenko</cp:lastModifiedBy>
  <cp:revision>2</cp:revision>
  <cp:lastPrinted>2024-08-14T01:29:15Z</cp:lastPrinted>
  <dcterms:created xsi:type="dcterms:W3CDTF">2009-10-01T23:01:22Z</dcterms:created>
  <dcterms:modified xsi:type="dcterms:W3CDTF">2025-02-10T23:41:33Z</dcterms:modified>
  <dc:language>ru-RU</dc:language>
</cp:coreProperties>
</file>