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25" yWindow="45" windowWidth="15360" windowHeight="12045" tabRatio="500"/>
  </bookViews>
  <sheets>
    <sheet name="Документ (1)" sheetId="1" r:id="rId1"/>
  </sheets>
  <definedNames>
    <definedName name="_xlnm._FilterDatabase" localSheetId="0" hidden="1">'Документ (1)'!$A$12:$H$786</definedName>
    <definedName name="_xlnm.Print_Titles" localSheetId="0">'Документ (1)'!#REF!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3" i="1" l="1"/>
  <c r="G142" i="1" s="1"/>
  <c r="G230" i="1"/>
  <c r="F230" i="1"/>
  <c r="F229" i="1" s="1"/>
  <c r="F228" i="1" s="1"/>
  <c r="F227" i="1" s="1"/>
  <c r="H756" i="1"/>
  <c r="H741" i="1"/>
  <c r="H735" i="1"/>
  <c r="H702" i="1"/>
  <c r="H677" i="1"/>
  <c r="H666" i="1"/>
  <c r="H652" i="1"/>
  <c r="H650" i="1"/>
  <c r="H645" i="1"/>
  <c r="H643" i="1"/>
  <c r="H638" i="1"/>
  <c r="H616" i="1"/>
  <c r="H604" i="1"/>
  <c r="H573" i="1"/>
  <c r="H571" i="1"/>
  <c r="H558" i="1"/>
  <c r="H544" i="1"/>
  <c r="H537" i="1"/>
  <c r="H517" i="1"/>
  <c r="H507" i="1"/>
  <c r="H482" i="1"/>
  <c r="H479" i="1"/>
  <c r="H476" i="1"/>
  <c r="H473" i="1"/>
  <c r="H470" i="1"/>
  <c r="H458" i="1"/>
  <c r="H427" i="1"/>
  <c r="H419" i="1"/>
  <c r="H408" i="1"/>
  <c r="H402" i="1"/>
  <c r="H399" i="1"/>
  <c r="H361" i="1"/>
  <c r="H328" i="1"/>
  <c r="H325" i="1"/>
  <c r="H322" i="1"/>
  <c r="H313" i="1"/>
  <c r="H310" i="1"/>
  <c r="H300" i="1"/>
  <c r="H290" i="1"/>
  <c r="H275" i="1"/>
  <c r="H260" i="1"/>
  <c r="H231" i="1"/>
  <c r="H217" i="1"/>
  <c r="H202" i="1"/>
  <c r="H194" i="1"/>
  <c r="H189" i="1"/>
  <c r="H186" i="1"/>
  <c r="H184" i="1"/>
  <c r="H179" i="1"/>
  <c r="H172" i="1"/>
  <c r="H135" i="1"/>
  <c r="H130" i="1"/>
  <c r="H125" i="1"/>
  <c r="H120" i="1"/>
  <c r="H112" i="1"/>
  <c r="H109" i="1"/>
  <c r="H90" i="1"/>
  <c r="H86" i="1"/>
  <c r="H81" i="1"/>
  <c r="H76" i="1"/>
  <c r="H61" i="1"/>
  <c r="H43" i="1"/>
  <c r="H32" i="1"/>
  <c r="H30" i="1"/>
  <c r="H29" i="1"/>
  <c r="G785" i="1"/>
  <c r="G784" i="1" s="1"/>
  <c r="G783" i="1" s="1"/>
  <c r="G782" i="1" s="1"/>
  <c r="G781" i="1" s="1"/>
  <c r="G780" i="1" s="1"/>
  <c r="G779" i="1" s="1"/>
  <c r="G778" i="1"/>
  <c r="G777" i="1" s="1"/>
  <c r="G775" i="1"/>
  <c r="G774" i="1" s="1"/>
  <c r="G773" i="1" s="1"/>
  <c r="G771" i="1"/>
  <c r="G770" i="1" s="1"/>
  <c r="G768" i="1"/>
  <c r="G767" i="1" s="1"/>
  <c r="G762" i="1"/>
  <c r="G761" i="1" s="1"/>
  <c r="G760" i="1" s="1"/>
  <c r="G759" i="1" s="1"/>
  <c r="G758" i="1" s="1"/>
  <c r="G755" i="1"/>
  <c r="G753" i="1"/>
  <c r="G752" i="1" s="1"/>
  <c r="G751" i="1"/>
  <c r="G750" i="1" s="1"/>
  <c r="G746" i="1"/>
  <c r="G745" i="1" s="1"/>
  <c r="G744" i="1"/>
  <c r="G740" i="1"/>
  <c r="G739" i="1" s="1"/>
  <c r="G734" i="1"/>
  <c r="G733" i="1" s="1"/>
  <c r="G730" i="1"/>
  <c r="G727" i="1"/>
  <c r="G726" i="1" s="1"/>
  <c r="G725" i="1"/>
  <c r="G724" i="1" s="1"/>
  <c r="G722" i="1"/>
  <c r="G717" i="1"/>
  <c r="G712" i="1"/>
  <c r="G711" i="1" s="1"/>
  <c r="G710" i="1" s="1"/>
  <c r="G709" i="1" s="1"/>
  <c r="G706" i="1"/>
  <c r="G705" i="1" s="1"/>
  <c r="G704" i="1" s="1"/>
  <c r="G703" i="1" s="1"/>
  <c r="G701" i="1"/>
  <c r="G700" i="1" s="1"/>
  <c r="G699" i="1" s="1"/>
  <c r="G698" i="1" s="1"/>
  <c r="G696" i="1"/>
  <c r="G695" i="1" s="1"/>
  <c r="G694" i="1" s="1"/>
  <c r="G693" i="1" s="1"/>
  <c r="G692" i="1"/>
  <c r="G690" i="1"/>
  <c r="G689" i="1" s="1"/>
  <c r="G683" i="1"/>
  <c r="G682" i="1" s="1"/>
  <c r="G676" i="1"/>
  <c r="G674" i="1"/>
  <c r="G673" i="1"/>
  <c r="G672" i="1" s="1"/>
  <c r="G665" i="1"/>
  <c r="G664" i="1" s="1"/>
  <c r="G663" i="1" s="1"/>
  <c r="G662" i="1" s="1"/>
  <c r="G661" i="1"/>
  <c r="G660" i="1" s="1"/>
  <c r="G659" i="1" s="1"/>
  <c r="G658" i="1"/>
  <c r="G657" i="1" s="1"/>
  <c r="G656" i="1" s="1"/>
  <c r="G655" i="1"/>
  <c r="G654" i="1" s="1"/>
  <c r="G653" i="1" s="1"/>
  <c r="G651" i="1"/>
  <c r="G649" i="1"/>
  <c r="G648" i="1"/>
  <c r="G647" i="1" s="1"/>
  <c r="G644" i="1"/>
  <c r="G642" i="1"/>
  <c r="G641" i="1"/>
  <c r="G640" i="1" s="1"/>
  <c r="G637" i="1"/>
  <c r="G635" i="1"/>
  <c r="G634" i="1"/>
  <c r="G626" i="1"/>
  <c r="G621" i="1"/>
  <c r="G620" i="1" s="1"/>
  <c r="G615" i="1"/>
  <c r="G613" i="1"/>
  <c r="G612" i="1" s="1"/>
  <c r="G610" i="1"/>
  <c r="G608" i="1"/>
  <c r="G603" i="1"/>
  <c r="G602" i="1" s="1"/>
  <c r="G601" i="1"/>
  <c r="G600" i="1" s="1"/>
  <c r="G599" i="1"/>
  <c r="G598" i="1" s="1"/>
  <c r="G596" i="1"/>
  <c r="G590" i="1"/>
  <c r="G589" i="1" s="1"/>
  <c r="G588" i="1" s="1"/>
  <c r="G587" i="1" s="1"/>
  <c r="G586" i="1" s="1"/>
  <c r="G584" i="1"/>
  <c r="G583" i="1" s="1"/>
  <c r="G580" i="1"/>
  <c r="G577" i="1"/>
  <c r="G572" i="1"/>
  <c r="G570" i="1"/>
  <c r="G565" i="1"/>
  <c r="G564" i="1" s="1"/>
  <c r="G563" i="1"/>
  <c r="G562" i="1" s="1"/>
  <c r="G557" i="1"/>
  <c r="G556" i="1" s="1"/>
  <c r="G553" i="1"/>
  <c r="G546" i="1"/>
  <c r="G543" i="1"/>
  <c r="G542" i="1" s="1"/>
  <c r="G540" i="1"/>
  <c r="G538" i="1"/>
  <c r="G536" i="1"/>
  <c r="G533" i="1"/>
  <c r="G532" i="1" s="1"/>
  <c r="G527" i="1"/>
  <c r="G526" i="1" s="1"/>
  <c r="G525" i="1" s="1"/>
  <c r="G524" i="1" s="1"/>
  <c r="G523" i="1" s="1"/>
  <c r="G522" i="1"/>
  <c r="G521" i="1" s="1"/>
  <c r="G516" i="1"/>
  <c r="G514" i="1"/>
  <c r="G513" i="1" s="1"/>
  <c r="G512" i="1"/>
  <c r="G511" i="1" s="1"/>
  <c r="G506" i="1"/>
  <c r="G505" i="1" s="1"/>
  <c r="G504" i="1" s="1"/>
  <c r="G503" i="1"/>
  <c r="G502" i="1" s="1"/>
  <c r="G501" i="1"/>
  <c r="G500" i="1" s="1"/>
  <c r="G498" i="1"/>
  <c r="G494" i="1"/>
  <c r="G493" i="1" s="1"/>
  <c r="G491" i="1"/>
  <c r="G490" i="1"/>
  <c r="G489" i="1" s="1"/>
  <c r="G488" i="1"/>
  <c r="G485" i="1"/>
  <c r="G484" i="1" s="1"/>
  <c r="G483" i="1" s="1"/>
  <c r="G481" i="1"/>
  <c r="G480" i="1" s="1"/>
  <c r="G478" i="1"/>
  <c r="G477" i="1" s="1"/>
  <c r="G475" i="1"/>
  <c r="G472" i="1"/>
  <c r="G469" i="1"/>
  <c r="G468" i="1"/>
  <c r="G467" i="1" s="1"/>
  <c r="G465" i="1"/>
  <c r="G463" i="1"/>
  <c r="G462" i="1" s="1"/>
  <c r="G461" i="1"/>
  <c r="G460" i="1" s="1"/>
  <c r="G457" i="1"/>
  <c r="G456" i="1" s="1"/>
  <c r="G454" i="1"/>
  <c r="G453" i="1"/>
  <c r="G452" i="1" s="1"/>
  <c r="G450" i="1"/>
  <c r="G447" i="1"/>
  <c r="G446" i="1"/>
  <c r="G444" i="1"/>
  <c r="G437" i="1"/>
  <c r="G436" i="1" s="1"/>
  <c r="G432" i="1"/>
  <c r="G431" i="1" s="1"/>
  <c r="G430" i="1" s="1"/>
  <c r="G429" i="1" s="1"/>
  <c r="G428" i="1" s="1"/>
  <c r="G426" i="1"/>
  <c r="G425" i="1"/>
  <c r="G422" i="1"/>
  <c r="G421" i="1" s="1"/>
  <c r="G420" i="1" s="1"/>
  <c r="G418" i="1"/>
  <c r="G415" i="1"/>
  <c r="G414" i="1" s="1"/>
  <c r="G413" i="1" s="1"/>
  <c r="G407" i="1"/>
  <c r="G406" i="1" s="1"/>
  <c r="G405" i="1" s="1"/>
  <c r="G401" i="1"/>
  <c r="G400" i="1" s="1"/>
  <c r="G398" i="1"/>
  <c r="G397" i="1" s="1"/>
  <c r="G395" i="1"/>
  <c r="G391" i="1"/>
  <c r="G390" i="1" s="1"/>
  <c r="G389" i="1" s="1"/>
  <c r="G388" i="1"/>
  <c r="G387" i="1" s="1"/>
  <c r="G386" i="1" s="1"/>
  <c r="G385" i="1"/>
  <c r="G384" i="1" s="1"/>
  <c r="G381" i="1"/>
  <c r="G380" i="1" s="1"/>
  <c r="G377" i="1"/>
  <c r="G372" i="1"/>
  <c r="G371" i="1" s="1"/>
  <c r="G368" i="1"/>
  <c r="G365" i="1"/>
  <c r="G364" i="1" s="1"/>
  <c r="G360" i="1"/>
  <c r="G359" i="1" s="1"/>
  <c r="G358" i="1" s="1"/>
  <c r="G357" i="1" s="1"/>
  <c r="G354" i="1"/>
  <c r="G352" i="1"/>
  <c r="G351" i="1" s="1"/>
  <c r="G350" i="1" s="1"/>
  <c r="G348" i="1"/>
  <c r="G345" i="1"/>
  <c r="G344" i="1" s="1"/>
  <c r="G342" i="1"/>
  <c r="G341" i="1" s="1"/>
  <c r="G339" i="1"/>
  <c r="G336" i="1"/>
  <c r="G335" i="1" s="1"/>
  <c r="G334" i="1"/>
  <c r="G333" i="1" s="1"/>
  <c r="G327" i="1"/>
  <c r="G326" i="1" s="1"/>
  <c r="G324" i="1"/>
  <c r="G323" i="1" s="1"/>
  <c r="G321" i="1"/>
  <c r="G319" i="1"/>
  <c r="G318" i="1" s="1"/>
  <c r="G316" i="1"/>
  <c r="G312" i="1"/>
  <c r="G311" i="1" s="1"/>
  <c r="G309" i="1"/>
  <c r="G306" i="1"/>
  <c r="G305" i="1" s="1"/>
  <c r="G299" i="1"/>
  <c r="G298" i="1"/>
  <c r="G297" i="1" s="1"/>
  <c r="G292" i="1"/>
  <c r="G291" i="1" s="1"/>
  <c r="G289" i="1"/>
  <c r="G288" i="1" s="1"/>
  <c r="G286" i="1"/>
  <c r="G281" i="1"/>
  <c r="G280" i="1" s="1"/>
  <c r="G279" i="1" s="1"/>
  <c r="G274" i="1"/>
  <c r="G273" i="1" s="1"/>
  <c r="G272" i="1" s="1"/>
  <c r="G271" i="1" s="1"/>
  <c r="G270" i="1"/>
  <c r="G269" i="1" s="1"/>
  <c r="G268" i="1" s="1"/>
  <c r="G267" i="1" s="1"/>
  <c r="G265" i="1"/>
  <c r="G263" i="1"/>
  <c r="G259" i="1"/>
  <c r="G258" i="1" s="1"/>
  <c r="G256" i="1"/>
  <c r="G255" i="1" s="1"/>
  <c r="G253" i="1"/>
  <c r="G252" i="1" s="1"/>
  <c r="G250" i="1"/>
  <c r="G249" i="1" s="1"/>
  <c r="G244" i="1"/>
  <c r="G243" i="1" s="1"/>
  <c r="G241" i="1"/>
  <c r="G240" i="1" s="1"/>
  <c r="G235" i="1"/>
  <c r="G223" i="1"/>
  <c r="G216" i="1"/>
  <c r="G215" i="1" s="1"/>
  <c r="G211" i="1"/>
  <c r="G210" i="1" s="1"/>
  <c r="G204" i="1"/>
  <c r="G201" i="1"/>
  <c r="G199" i="1"/>
  <c r="G198" i="1" s="1"/>
  <c r="G197" i="1"/>
  <c r="G193" i="1"/>
  <c r="G190" i="1"/>
  <c r="G188" i="1"/>
  <c r="G185" i="1"/>
  <c r="G183" i="1"/>
  <c r="G181" i="1"/>
  <c r="G178" i="1"/>
  <c r="G176" i="1"/>
  <c r="G175" i="1" s="1"/>
  <c r="G174" i="1" s="1"/>
  <c r="G171" i="1"/>
  <c r="G170" i="1"/>
  <c r="G169" i="1" s="1"/>
  <c r="G167" i="1"/>
  <c r="G165" i="1"/>
  <c r="G163" i="1"/>
  <c r="G158" i="1"/>
  <c r="G157" i="1" s="1"/>
  <c r="G153" i="1"/>
  <c r="G151" i="1"/>
  <c r="G149" i="1"/>
  <c r="G145" i="1"/>
  <c r="G144" i="1" s="1"/>
  <c r="G140" i="1"/>
  <c r="G134" i="1"/>
  <c r="G129" i="1"/>
  <c r="G124" i="1"/>
  <c r="G123" i="1" s="1"/>
  <c r="G122" i="1" s="1"/>
  <c r="G121" i="1" s="1"/>
  <c r="G119" i="1"/>
  <c r="G117" i="1"/>
  <c r="G115" i="1"/>
  <c r="G111" i="1"/>
  <c r="G110" i="1" s="1"/>
  <c r="G108" i="1"/>
  <c r="G105" i="1"/>
  <c r="G102" i="1"/>
  <c r="G101" i="1" s="1"/>
  <c r="G98" i="1"/>
  <c r="G97" i="1" s="1"/>
  <c r="G95" i="1"/>
  <c r="G94" i="1" s="1"/>
  <c r="G93" i="1" s="1"/>
  <c r="G89" i="1"/>
  <c r="G87" i="1"/>
  <c r="G85" i="1"/>
  <c r="G80" i="1"/>
  <c r="G75" i="1"/>
  <c r="G69" i="1"/>
  <c r="G64" i="1"/>
  <c r="G63" i="1" s="1"/>
  <c r="G60" i="1"/>
  <c r="G59" i="1"/>
  <c r="G58" i="1" s="1"/>
  <c r="G56" i="1"/>
  <c r="G51" i="1"/>
  <c r="G50" i="1" s="1"/>
  <c r="G49" i="1" s="1"/>
  <c r="G44" i="1"/>
  <c r="G42" i="1"/>
  <c r="G40" i="1"/>
  <c r="G35" i="1"/>
  <c r="G34" i="1" s="1"/>
  <c r="G33" i="1" s="1"/>
  <c r="G31" i="1"/>
  <c r="G28" i="1"/>
  <c r="G27" i="1"/>
  <c r="G26" i="1" s="1"/>
  <c r="G25" i="1"/>
  <c r="G24" i="1" s="1"/>
  <c r="G18" i="1"/>
  <c r="G17" i="1" s="1"/>
  <c r="F785" i="1"/>
  <c r="F784" i="1" s="1"/>
  <c r="F783" i="1" s="1"/>
  <c r="F782" i="1" s="1"/>
  <c r="F781" i="1" s="1"/>
  <c r="F780" i="1" s="1"/>
  <c r="F779" i="1" s="1"/>
  <c r="F778" i="1"/>
  <c r="F777" i="1" s="1"/>
  <c r="F776" i="1" s="1"/>
  <c r="F775" i="1"/>
  <c r="F774" i="1" s="1"/>
  <c r="F773" i="1" s="1"/>
  <c r="F772" i="1"/>
  <c r="F771" i="1" s="1"/>
  <c r="F770" i="1" s="1"/>
  <c r="F769" i="1"/>
  <c r="F768" i="1" s="1"/>
  <c r="F767" i="1" s="1"/>
  <c r="F763" i="1"/>
  <c r="H763" i="1" s="1"/>
  <c r="F755" i="1"/>
  <c r="F754" i="1" s="1"/>
  <c r="F753" i="1"/>
  <c r="F752" i="1" s="1"/>
  <c r="F751" i="1"/>
  <c r="F750" i="1" s="1"/>
  <c r="F746" i="1"/>
  <c r="F745" i="1" s="1"/>
  <c r="F744" i="1"/>
  <c r="F743" i="1" s="1"/>
  <c r="F740" i="1"/>
  <c r="F739" i="1" s="1"/>
  <c r="F734" i="1"/>
  <c r="F733" i="1" s="1"/>
  <c r="F732" i="1" s="1"/>
  <c r="F731" i="1" s="1"/>
  <c r="F730" i="1"/>
  <c r="F729" i="1" s="1"/>
  <c r="F727" i="1"/>
  <c r="F726" i="1" s="1"/>
  <c r="F725" i="1"/>
  <c r="F724" i="1" s="1"/>
  <c r="F723" i="1"/>
  <c r="F722" i="1" s="1"/>
  <c r="F718" i="1"/>
  <c r="F717" i="1" s="1"/>
  <c r="F716" i="1" s="1"/>
  <c r="F715" i="1" s="1"/>
  <c r="F714" i="1" s="1"/>
  <c r="F712" i="1"/>
  <c r="F711" i="1" s="1"/>
  <c r="F710" i="1" s="1"/>
  <c r="F709" i="1" s="1"/>
  <c r="F706" i="1"/>
  <c r="F705" i="1" s="1"/>
  <c r="F704" i="1" s="1"/>
  <c r="F703" i="1" s="1"/>
  <c r="F701" i="1"/>
  <c r="F700" i="1" s="1"/>
  <c r="F699" i="1" s="1"/>
  <c r="F698" i="1" s="1"/>
  <c r="H697" i="1"/>
  <c r="F692" i="1"/>
  <c r="F691" i="1" s="1"/>
  <c r="F690" i="1"/>
  <c r="F689" i="1" s="1"/>
  <c r="F684" i="1"/>
  <c r="F683" i="1" s="1"/>
  <c r="F682" i="1" s="1"/>
  <c r="F681" i="1" s="1"/>
  <c r="F680" i="1" s="1"/>
  <c r="F679" i="1" s="1"/>
  <c r="F676" i="1"/>
  <c r="F675" i="1"/>
  <c r="F674" i="1" s="1"/>
  <c r="F673" i="1"/>
  <c r="F672" i="1" s="1"/>
  <c r="F665" i="1"/>
  <c r="F664" i="1" s="1"/>
  <c r="F663" i="1" s="1"/>
  <c r="F662" i="1" s="1"/>
  <c r="F661" i="1"/>
  <c r="F660" i="1" s="1"/>
  <c r="F659" i="1" s="1"/>
  <c r="F658" i="1"/>
  <c r="F657" i="1" s="1"/>
  <c r="F656" i="1" s="1"/>
  <c r="F655" i="1"/>
  <c r="F654" i="1" s="1"/>
  <c r="F653" i="1" s="1"/>
  <c r="F651" i="1"/>
  <c r="F649" i="1"/>
  <c r="F648" i="1"/>
  <c r="F647" i="1" s="1"/>
  <c r="F644" i="1"/>
  <c r="F642" i="1"/>
  <c r="F641" i="1"/>
  <c r="F640" i="1" s="1"/>
  <c r="F637" i="1"/>
  <c r="F636" i="1"/>
  <c r="F635" i="1" s="1"/>
  <c r="F634" i="1"/>
  <c r="F633" i="1" s="1"/>
  <c r="F626" i="1"/>
  <c r="F625" i="1" s="1"/>
  <c r="F624" i="1" s="1"/>
  <c r="F621" i="1"/>
  <c r="F620" i="1" s="1"/>
  <c r="F619" i="1" s="1"/>
  <c r="F618" i="1" s="1"/>
  <c r="F617" i="1" s="1"/>
  <c r="F615" i="1"/>
  <c r="F614" i="1" s="1"/>
  <c r="F613" i="1"/>
  <c r="F612" i="1" s="1"/>
  <c r="F611" i="1"/>
  <c r="F610" i="1" s="1"/>
  <c r="F609" i="1"/>
  <c r="F608" i="1" s="1"/>
  <c r="F603" i="1"/>
  <c r="F602" i="1" s="1"/>
  <c r="F601" i="1"/>
  <c r="F600" i="1" s="1"/>
  <c r="F599" i="1"/>
  <c r="F598" i="1" s="1"/>
  <c r="F596" i="1"/>
  <c r="F595" i="1" s="1"/>
  <c r="F594" i="1" s="1"/>
  <c r="F590" i="1"/>
  <c r="F589" i="1" s="1"/>
  <c r="F588" i="1" s="1"/>
  <c r="F587" i="1" s="1"/>
  <c r="F586" i="1" s="1"/>
  <c r="F585" i="1"/>
  <c r="F584" i="1" s="1"/>
  <c r="F583" i="1" s="1"/>
  <c r="F580" i="1"/>
  <c r="F579" i="1" s="1"/>
  <c r="F578" i="1"/>
  <c r="F577" i="1" s="1"/>
  <c r="F572" i="1"/>
  <c r="F570" i="1"/>
  <c r="F565" i="1"/>
  <c r="F564" i="1" s="1"/>
  <c r="F563" i="1"/>
  <c r="F562" i="1" s="1"/>
  <c r="F557" i="1"/>
  <c r="F556" i="1" s="1"/>
  <c r="F555" i="1" s="1"/>
  <c r="F554" i="1" s="1"/>
  <c r="F553" i="1"/>
  <c r="F552" i="1" s="1"/>
  <c r="F551" i="1" s="1"/>
  <c r="F550" i="1" s="1"/>
  <c r="F549" i="1" s="1"/>
  <c r="F548" i="1" s="1"/>
  <c r="F547" i="1"/>
  <c r="F546" i="1" s="1"/>
  <c r="F545" i="1" s="1"/>
  <c r="F543" i="1"/>
  <c r="F542" i="1" s="1"/>
  <c r="F541" i="1"/>
  <c r="F540" i="1" s="1"/>
  <c r="F539" i="1"/>
  <c r="F538" i="1" s="1"/>
  <c r="F536" i="1"/>
  <c r="F534" i="1"/>
  <c r="F533" i="1" s="1"/>
  <c r="F532" i="1" s="1"/>
  <c r="F527" i="1"/>
  <c r="F526" i="1" s="1"/>
  <c r="F522" i="1"/>
  <c r="F521" i="1" s="1"/>
  <c r="F520" i="1" s="1"/>
  <c r="F519" i="1" s="1"/>
  <c r="F518" i="1" s="1"/>
  <c r="F516" i="1"/>
  <c r="F515" i="1" s="1"/>
  <c r="F514" i="1"/>
  <c r="F513" i="1" s="1"/>
  <c r="F512" i="1"/>
  <c r="F511" i="1" s="1"/>
  <c r="F506" i="1"/>
  <c r="F505" i="1" s="1"/>
  <c r="F504" i="1" s="1"/>
  <c r="F503" i="1"/>
  <c r="F502" i="1" s="1"/>
  <c r="F501" i="1"/>
  <c r="F500" i="1" s="1"/>
  <c r="F498" i="1"/>
  <c r="F497" i="1" s="1"/>
  <c r="F496" i="1" s="1"/>
  <c r="H495" i="1"/>
  <c r="F491" i="1"/>
  <c r="F490" i="1"/>
  <c r="F489" i="1" s="1"/>
  <c r="F488" i="1"/>
  <c r="F487" i="1" s="1"/>
  <c r="F485" i="1"/>
  <c r="F484" i="1" s="1"/>
  <c r="F483" i="1" s="1"/>
  <c r="F481" i="1"/>
  <c r="F478" i="1"/>
  <c r="F477" i="1" s="1"/>
  <c r="F475" i="1"/>
  <c r="F474" i="1" s="1"/>
  <c r="F472" i="1"/>
  <c r="F471" i="1" s="1"/>
  <c r="F469" i="1"/>
  <c r="F468" i="1"/>
  <c r="F467" i="1" s="1"/>
  <c r="F465" i="1"/>
  <c r="F464" i="1" s="1"/>
  <c r="F463" i="1"/>
  <c r="F462" i="1" s="1"/>
  <c r="F461" i="1"/>
  <c r="F460" i="1" s="1"/>
  <c r="F457" i="1"/>
  <c r="F456" i="1" s="1"/>
  <c r="F454" i="1"/>
  <c r="F453" i="1"/>
  <c r="F452" i="1" s="1"/>
  <c r="F450" i="1"/>
  <c r="F449" i="1" s="1"/>
  <c r="F448" i="1"/>
  <c r="F447" i="1" s="1"/>
  <c r="F446" i="1"/>
  <c r="F445" i="1" s="1"/>
  <c r="F444" i="1"/>
  <c r="F443" i="1" s="1"/>
  <c r="F437" i="1"/>
  <c r="F436" i="1" s="1"/>
  <c r="F435" i="1" s="1"/>
  <c r="F434" i="1" s="1"/>
  <c r="F433" i="1" s="1"/>
  <c r="F432" i="1"/>
  <c r="F431" i="1" s="1"/>
  <c r="F430" i="1" s="1"/>
  <c r="F429" i="1" s="1"/>
  <c r="F426" i="1"/>
  <c r="F425" i="1"/>
  <c r="F424" i="1" s="1"/>
  <c r="F423" i="1" s="1"/>
  <c r="F422" i="1"/>
  <c r="F421" i="1" s="1"/>
  <c r="F420" i="1" s="1"/>
  <c r="F418" i="1"/>
  <c r="F417" i="1" s="1"/>
  <c r="F416" i="1"/>
  <c r="F415" i="1" s="1"/>
  <c r="F414" i="1" s="1"/>
  <c r="F413" i="1" s="1"/>
  <c r="F407" i="1"/>
  <c r="F406" i="1" s="1"/>
  <c r="F405" i="1" s="1"/>
  <c r="F404" i="1" s="1"/>
  <c r="F403" i="1" s="1"/>
  <c r="F401" i="1"/>
  <c r="F400" i="1" s="1"/>
  <c r="F398" i="1"/>
  <c r="F397" i="1" s="1"/>
  <c r="F396" i="1"/>
  <c r="H396" i="1" s="1"/>
  <c r="F391" i="1"/>
  <c r="F390" i="1" s="1"/>
  <c r="F389" i="1" s="1"/>
  <c r="F388" i="1"/>
  <c r="F387" i="1" s="1"/>
  <c r="F386" i="1" s="1"/>
  <c r="F385" i="1"/>
  <c r="F384" i="1" s="1"/>
  <c r="F383" i="1" s="1"/>
  <c r="F382" i="1"/>
  <c r="F381" i="1" s="1"/>
  <c r="F377" i="1"/>
  <c r="F376" i="1" s="1"/>
  <c r="F375" i="1" s="1"/>
  <c r="F374" i="1" s="1"/>
  <c r="F372" i="1"/>
  <c r="F371" i="1" s="1"/>
  <c r="F370" i="1" s="1"/>
  <c r="F368" i="1"/>
  <c r="F367" i="1" s="1"/>
  <c r="F366" i="1"/>
  <c r="H366" i="1" s="1"/>
  <c r="F360" i="1"/>
  <c r="F355" i="1"/>
  <c r="F354" i="1" s="1"/>
  <c r="F353" i="1" s="1"/>
  <c r="F352" i="1"/>
  <c r="F351" i="1" s="1"/>
  <c r="F350" i="1" s="1"/>
  <c r="F349" i="1"/>
  <c r="F348" i="1" s="1"/>
  <c r="F347" i="1" s="1"/>
  <c r="F345" i="1"/>
  <c r="F344" i="1" s="1"/>
  <c r="F343" i="1"/>
  <c r="H343" i="1" s="1"/>
  <c r="F340" i="1"/>
  <c r="H340" i="1" s="1"/>
  <c r="F337" i="1"/>
  <c r="H337" i="1" s="1"/>
  <c r="F334" i="1"/>
  <c r="F333" i="1" s="1"/>
  <c r="F332" i="1" s="1"/>
  <c r="F327" i="1"/>
  <c r="F324" i="1"/>
  <c r="F323" i="1" s="1"/>
  <c r="F321" i="1"/>
  <c r="F320" i="1" s="1"/>
  <c r="F319" i="1"/>
  <c r="F318" i="1" s="1"/>
  <c r="F317" i="1" s="1"/>
  <c r="F316" i="1"/>
  <c r="F315" i="1" s="1"/>
  <c r="F312" i="1"/>
  <c r="F311" i="1" s="1"/>
  <c r="F309" i="1"/>
  <c r="F308" i="1" s="1"/>
  <c r="F307" i="1"/>
  <c r="F306" i="1" s="1"/>
  <c r="F305" i="1" s="1"/>
  <c r="F299" i="1"/>
  <c r="F298" i="1"/>
  <c r="F297" i="1" s="1"/>
  <c r="F293" i="1"/>
  <c r="F292" i="1" s="1"/>
  <c r="F291" i="1" s="1"/>
  <c r="F289" i="1"/>
  <c r="F288" i="1" s="1"/>
  <c r="F287" i="1"/>
  <c r="H287" i="1" s="1"/>
  <c r="F281" i="1"/>
  <c r="F280" i="1" s="1"/>
  <c r="F279" i="1" s="1"/>
  <c r="F278" i="1" s="1"/>
  <c r="F277" i="1" s="1"/>
  <c r="F276" i="1" s="1"/>
  <c r="F274" i="1"/>
  <c r="F273" i="1" s="1"/>
  <c r="F272" i="1" s="1"/>
  <c r="F271" i="1" s="1"/>
  <c r="F270" i="1"/>
  <c r="F269" i="1" s="1"/>
  <c r="F268" i="1" s="1"/>
  <c r="F267" i="1" s="1"/>
  <c r="F266" i="1"/>
  <c r="F265" i="1" s="1"/>
  <c r="F264" i="1" s="1"/>
  <c r="F263" i="1"/>
  <c r="F262" i="1" s="1"/>
  <c r="F261" i="1" s="1"/>
  <c r="F259" i="1"/>
  <c r="F258" i="1" s="1"/>
  <c r="F257" i="1"/>
  <c r="F256" i="1" s="1"/>
  <c r="F255" i="1" s="1"/>
  <c r="F254" i="1"/>
  <c r="F253" i="1" s="1"/>
  <c r="F252" i="1" s="1"/>
  <c r="F251" i="1"/>
  <c r="F250" i="1" s="1"/>
  <c r="F249" i="1" s="1"/>
  <c r="F244" i="1"/>
  <c r="F243" i="1" s="1"/>
  <c r="F242" i="1"/>
  <c r="F241" i="1" s="1"/>
  <c r="F240" i="1" s="1"/>
  <c r="F236" i="1"/>
  <c r="F235" i="1" s="1"/>
  <c r="F234" i="1" s="1"/>
  <c r="F233" i="1" s="1"/>
  <c r="F232" i="1" s="1"/>
  <c r="F224" i="1"/>
  <c r="F223" i="1" s="1"/>
  <c r="F222" i="1" s="1"/>
  <c r="F221" i="1" s="1"/>
  <c r="F220" i="1" s="1"/>
  <c r="F219" i="1" s="1"/>
  <c r="F218" i="1" s="1"/>
  <c r="F216" i="1"/>
  <c r="F215" i="1" s="1"/>
  <c r="F214" i="1" s="1"/>
  <c r="F213" i="1" s="1"/>
  <c r="F212" i="1" s="1"/>
  <c r="F211" i="1"/>
  <c r="F210" i="1" s="1"/>
  <c r="F209" i="1" s="1"/>
  <c r="F208" i="1" s="1"/>
  <c r="F207" i="1" s="1"/>
  <c r="F206" i="1" s="1"/>
  <c r="F204" i="1"/>
  <c r="F203" i="1" s="1"/>
  <c r="F201" i="1"/>
  <c r="F199" i="1"/>
  <c r="F198" i="1" s="1"/>
  <c r="F197" i="1"/>
  <c r="F196" i="1" s="1"/>
  <c r="F193" i="1"/>
  <c r="F192" i="1" s="1"/>
  <c r="F191" i="1"/>
  <c r="F190" i="1" s="1"/>
  <c r="F188" i="1"/>
  <c r="F185" i="1"/>
  <c r="F183" i="1"/>
  <c r="F181" i="1"/>
  <c r="F180" i="1" s="1"/>
  <c r="F178" i="1"/>
  <c r="F176" i="1"/>
  <c r="F175" i="1" s="1"/>
  <c r="F174" i="1" s="1"/>
  <c r="F173" i="1"/>
  <c r="F171" i="1" s="1"/>
  <c r="F170" i="1"/>
  <c r="F168" i="1"/>
  <c r="F167" i="1" s="1"/>
  <c r="F166" i="1"/>
  <c r="H166" i="1" s="1"/>
  <c r="F163" i="1"/>
  <c r="F162" i="1"/>
  <c r="F159" i="1"/>
  <c r="F158" i="1" s="1"/>
  <c r="F157" i="1" s="1"/>
  <c r="F154" i="1"/>
  <c r="H154" i="1" s="1"/>
  <c r="F152" i="1"/>
  <c r="H152" i="1" s="1"/>
  <c r="F150" i="1"/>
  <c r="H150" i="1" s="1"/>
  <c r="F145" i="1"/>
  <c r="F144" i="1" s="1"/>
  <c r="F143" i="1" s="1"/>
  <c r="F142" i="1" s="1"/>
  <c r="F140" i="1"/>
  <c r="F139" i="1" s="1"/>
  <c r="F138" i="1" s="1"/>
  <c r="F137" i="1" s="1"/>
  <c r="F136" i="1" s="1"/>
  <c r="F134" i="1"/>
  <c r="F133" i="1" s="1"/>
  <c r="F132" i="1" s="1"/>
  <c r="F131" i="1" s="1"/>
  <c r="F129" i="1"/>
  <c r="F128" i="1" s="1"/>
  <c r="F127" i="1" s="1"/>
  <c r="F126" i="1" s="1"/>
  <c r="F124" i="1"/>
  <c r="F123" i="1" s="1"/>
  <c r="F122" i="1" s="1"/>
  <c r="F119" i="1"/>
  <c r="F118" i="1"/>
  <c r="H118" i="1" s="1"/>
  <c r="F116" i="1"/>
  <c r="F115" i="1" s="1"/>
  <c r="F111" i="1"/>
  <c r="F110" i="1" s="1"/>
  <c r="F108" i="1"/>
  <c r="F107" i="1" s="1"/>
  <c r="F106" i="1"/>
  <c r="H106" i="1" s="1"/>
  <c r="F103" i="1"/>
  <c r="F102" i="1" s="1"/>
  <c r="F101" i="1" s="1"/>
  <c r="F98" i="1"/>
  <c r="F97" i="1" s="1"/>
  <c r="F96" i="1" s="1"/>
  <c r="F95" i="1"/>
  <c r="F89" i="1"/>
  <c r="F88" i="1"/>
  <c r="F87" i="1" s="1"/>
  <c r="F85" i="1"/>
  <c r="F80" i="1"/>
  <c r="F79" i="1" s="1"/>
  <c r="F78" i="1" s="1"/>
  <c r="F77" i="1" s="1"/>
  <c r="F75" i="1"/>
  <c r="F74" i="1" s="1"/>
  <c r="F73" i="1" s="1"/>
  <c r="F72" i="1" s="1"/>
  <c r="F69" i="1"/>
  <c r="F68" i="1" s="1"/>
  <c r="F67" i="1" s="1"/>
  <c r="F66" i="1" s="1"/>
  <c r="F65" i="1" s="1"/>
  <c r="F64" i="1"/>
  <c r="F63" i="1" s="1"/>
  <c r="F62" i="1" s="1"/>
  <c r="F60" i="1"/>
  <c r="F59" i="1"/>
  <c r="F58" i="1" s="1"/>
  <c r="F57" i="1"/>
  <c r="F56" i="1" s="1"/>
  <c r="F51" i="1"/>
  <c r="F50" i="1" s="1"/>
  <c r="F49" i="1" s="1"/>
  <c r="F48" i="1" s="1"/>
  <c r="F47" i="1" s="1"/>
  <c r="F46" i="1" s="1"/>
  <c r="F45" i="1"/>
  <c r="F44" i="1" s="1"/>
  <c r="F42" i="1"/>
  <c r="F41" i="1"/>
  <c r="F40" i="1" s="1"/>
  <c r="F35" i="1"/>
  <c r="F31" i="1"/>
  <c r="F28" i="1"/>
  <c r="F27" i="1"/>
  <c r="F26" i="1" s="1"/>
  <c r="F25" i="1"/>
  <c r="F24" i="1" s="1"/>
  <c r="F19" i="1"/>
  <c r="F18" i="1" s="1"/>
  <c r="F17" i="1" s="1"/>
  <c r="F16" i="1" s="1"/>
  <c r="F14" i="1" s="1"/>
  <c r="H730" i="1" l="1"/>
  <c r="H171" i="1"/>
  <c r="F696" i="1"/>
  <c r="F695" i="1" s="1"/>
  <c r="F694" i="1" s="1"/>
  <c r="F693" i="1" s="1"/>
  <c r="F742" i="1"/>
  <c r="F738" i="1" s="1"/>
  <c r="F737" i="1" s="1"/>
  <c r="H181" i="1"/>
  <c r="H637" i="1"/>
  <c r="H634" i="1"/>
  <c r="H662" i="1"/>
  <c r="H35" i="1"/>
  <c r="H346" i="1"/>
  <c r="H170" i="1"/>
  <c r="H444" i="1"/>
  <c r="H658" i="1"/>
  <c r="H230" i="1"/>
  <c r="H502" i="1"/>
  <c r="H477" i="1"/>
  <c r="H586" i="1"/>
  <c r="H389" i="1"/>
  <c r="H163" i="1"/>
  <c r="H580" i="1"/>
  <c r="H725" i="1"/>
  <c r="H772" i="1"/>
  <c r="H140" i="1"/>
  <c r="H188" i="1"/>
  <c r="H446" i="1"/>
  <c r="H596" i="1"/>
  <c r="H116" i="1"/>
  <c r="H257" i="1"/>
  <c r="H723" i="1"/>
  <c r="H267" i="1"/>
  <c r="H462" i="1"/>
  <c r="H316" i="1"/>
  <c r="H450" i="1"/>
  <c r="H498" i="1"/>
  <c r="G569" i="1"/>
  <c r="G568" i="1" s="1"/>
  <c r="H655" i="1"/>
  <c r="H684" i="1"/>
  <c r="F342" i="1"/>
  <c r="F341" i="1" s="1"/>
  <c r="H341" i="1" s="1"/>
  <c r="F494" i="1"/>
  <c r="F493" i="1" s="1"/>
  <c r="H493" i="1" s="1"/>
  <c r="H377" i="1"/>
  <c r="H488" i="1"/>
  <c r="H176" i="1"/>
  <c r="H312" i="1"/>
  <c r="H512" i="1"/>
  <c r="H563" i="1"/>
  <c r="H95" i="1"/>
  <c r="F117" i="1"/>
  <c r="F114" i="1" s="1"/>
  <c r="F113" i="1" s="1"/>
  <c r="F149" i="1"/>
  <c r="H149" i="1" s="1"/>
  <c r="F165" i="1"/>
  <c r="H165" i="1" s="1"/>
  <c r="F365" i="1"/>
  <c r="F364" i="1" s="1"/>
  <c r="H364" i="1" s="1"/>
  <c r="H24" i="1"/>
  <c r="H44" i="1"/>
  <c r="H60" i="1"/>
  <c r="H80" i="1"/>
  <c r="H110" i="1"/>
  <c r="H157" i="1"/>
  <c r="H204" i="1"/>
  <c r="H263" i="1"/>
  <c r="H386" i="1"/>
  <c r="G487" i="1"/>
  <c r="H487" i="1" s="1"/>
  <c r="H532" i="1"/>
  <c r="H542" i="1"/>
  <c r="H626" i="1"/>
  <c r="H692" i="1"/>
  <c r="H744" i="1"/>
  <c r="H45" i="1"/>
  <c r="H281" i="1"/>
  <c r="H461" i="1"/>
  <c r="H534" i="1"/>
  <c r="H590" i="1"/>
  <c r="F153" i="1"/>
  <c r="H153" i="1" s="1"/>
  <c r="F169" i="1"/>
  <c r="H169" i="1" s="1"/>
  <c r="F205" i="1"/>
  <c r="H299" i="1"/>
  <c r="F395" i="1"/>
  <c r="F394" i="1" s="1"/>
  <c r="F393" i="1" s="1"/>
  <c r="F392" i="1" s="1"/>
  <c r="H58" i="1"/>
  <c r="G139" i="1"/>
  <c r="G138" i="1" s="1"/>
  <c r="G137" i="1" s="1"/>
  <c r="G136" i="1" s="1"/>
  <c r="H136" i="1" s="1"/>
  <c r="H197" i="1"/>
  <c r="G203" i="1"/>
  <c r="G200" i="1" s="1"/>
  <c r="G262" i="1"/>
  <c r="G261" i="1" s="1"/>
  <c r="H426" i="1"/>
  <c r="G443" i="1"/>
  <c r="H443" i="1" s="1"/>
  <c r="G449" i="1"/>
  <c r="H449" i="1" s="1"/>
  <c r="H465" i="1"/>
  <c r="H475" i="1"/>
  <c r="H540" i="1"/>
  <c r="G579" i="1"/>
  <c r="H579" i="1" s="1"/>
  <c r="G625" i="1"/>
  <c r="G624" i="1" s="1"/>
  <c r="G623" i="1" s="1"/>
  <c r="G622" i="1" s="1"/>
  <c r="G691" i="1"/>
  <c r="H691" i="1" s="1"/>
  <c r="H27" i="1"/>
  <c r="H145" i="1"/>
  <c r="H242" i="1"/>
  <c r="H416" i="1"/>
  <c r="H503" i="1"/>
  <c r="H673" i="1"/>
  <c r="H707" i="1"/>
  <c r="F762" i="1"/>
  <c r="F761" i="1" s="1"/>
  <c r="H761" i="1" s="1"/>
  <c r="H243" i="1"/>
  <c r="H258" i="1"/>
  <c r="H391" i="1"/>
  <c r="H463" i="1"/>
  <c r="H553" i="1"/>
  <c r="H610" i="1"/>
  <c r="H698" i="1"/>
  <c r="H746" i="1"/>
  <c r="H775" i="1"/>
  <c r="H25" i="1"/>
  <c r="H103" i="1"/>
  <c r="H159" i="1"/>
  <c r="H191" i="1"/>
  <c r="H298" i="1"/>
  <c r="H372" i="1"/>
  <c r="H492" i="1"/>
  <c r="H514" i="1"/>
  <c r="H541" i="1"/>
  <c r="H511" i="1"/>
  <c r="H59" i="1"/>
  <c r="H437" i="1"/>
  <c r="H578" i="1"/>
  <c r="H636" i="1"/>
  <c r="H690" i="1"/>
  <c r="H753" i="1"/>
  <c r="F105" i="1"/>
  <c r="F104" i="1" s="1"/>
  <c r="H271" i="1"/>
  <c r="F336" i="1"/>
  <c r="F335" i="1" s="1"/>
  <c r="H454" i="1"/>
  <c r="G180" i="1"/>
  <c r="H180" i="1" s="1"/>
  <c r="G376" i="1"/>
  <c r="H376" i="1" s="1"/>
  <c r="G633" i="1"/>
  <c r="G632" i="1" s="1"/>
  <c r="G729" i="1"/>
  <c r="G728" i="1" s="1"/>
  <c r="G743" i="1"/>
  <c r="G742" i="1" s="1"/>
  <c r="H70" i="1"/>
  <c r="H88" i="1"/>
  <c r="H173" i="1"/>
  <c r="H199" i="1"/>
  <c r="H211" i="1"/>
  <c r="H236" i="1"/>
  <c r="H254" i="1"/>
  <c r="H266" i="1"/>
  <c r="H293" i="1"/>
  <c r="H319" i="1"/>
  <c r="H334" i="1"/>
  <c r="H355" i="1"/>
  <c r="H385" i="1"/>
  <c r="H432" i="1"/>
  <c r="H448" i="1"/>
  <c r="H468" i="1"/>
  <c r="H490" i="1"/>
  <c r="H501" i="1"/>
  <c r="H527" i="1"/>
  <c r="H601" i="1"/>
  <c r="H613" i="1"/>
  <c r="H751" i="1"/>
  <c r="H769" i="1"/>
  <c r="H785" i="1"/>
  <c r="F34" i="1"/>
  <c r="F94" i="1"/>
  <c r="F93" i="1" s="1"/>
  <c r="F151" i="1"/>
  <c r="H151" i="1" s="1"/>
  <c r="F286" i="1"/>
  <c r="F285" i="1" s="1"/>
  <c r="F284" i="1" s="1"/>
  <c r="F283" i="1" s="1"/>
  <c r="F339" i="1"/>
  <c r="F338" i="1" s="1"/>
  <c r="H413" i="1"/>
  <c r="H489" i="1"/>
  <c r="H653" i="1"/>
  <c r="F749" i="1"/>
  <c r="H26" i="1"/>
  <c r="G161" i="1"/>
  <c r="G160" i="1" s="1"/>
  <c r="H178" i="1"/>
  <c r="G196" i="1"/>
  <c r="G195" i="1" s="1"/>
  <c r="H240" i="1"/>
  <c r="H255" i="1"/>
  <c r="G315" i="1"/>
  <c r="G314" i="1" s="1"/>
  <c r="G445" i="1"/>
  <c r="H445" i="1" s="1"/>
  <c r="G464" i="1"/>
  <c r="G459" i="1" s="1"/>
  <c r="G497" i="1"/>
  <c r="G496" i="1" s="1"/>
  <c r="H496" i="1" s="1"/>
  <c r="G552" i="1"/>
  <c r="G551" i="1" s="1"/>
  <c r="G550" i="1" s="1"/>
  <c r="G549" i="1" s="1"/>
  <c r="G548" i="1" s="1"/>
  <c r="H548" i="1" s="1"/>
  <c r="G595" i="1"/>
  <c r="G594" i="1" s="1"/>
  <c r="H594" i="1" s="1"/>
  <c r="H709" i="1"/>
  <c r="H726" i="1"/>
  <c r="H739" i="1"/>
  <c r="H19" i="1"/>
  <c r="H41" i="1"/>
  <c r="H57" i="1"/>
  <c r="H64" i="1"/>
  <c r="H98" i="1"/>
  <c r="H251" i="1"/>
  <c r="H270" i="1"/>
  <c r="H307" i="1"/>
  <c r="H352" i="1"/>
  <c r="H369" i="1"/>
  <c r="H382" i="1"/>
  <c r="H455" i="1"/>
  <c r="H522" i="1"/>
  <c r="H539" i="1"/>
  <c r="H585" i="1"/>
  <c r="H599" i="1"/>
  <c r="H611" i="1"/>
  <c r="H641" i="1"/>
  <c r="H718" i="1"/>
  <c r="H778" i="1"/>
  <c r="H168" i="1"/>
  <c r="F161" i="1"/>
  <c r="F160" i="1" s="1"/>
  <c r="H42" i="1"/>
  <c r="H770" i="1"/>
  <c r="H344" i="1"/>
  <c r="H418" i="1"/>
  <c r="H703" i="1"/>
  <c r="H724" i="1"/>
  <c r="H773" i="1"/>
  <c r="H51" i="1"/>
  <c r="H162" i="1"/>
  <c r="H224" i="1"/>
  <c r="H245" i="1"/>
  <c r="H268" i="1"/>
  <c r="H349" i="1"/>
  <c r="H388" i="1"/>
  <c r="H422" i="1"/>
  <c r="H453" i="1"/>
  <c r="H485" i="1"/>
  <c r="H547" i="1"/>
  <c r="H565" i="1"/>
  <c r="H609" i="1"/>
  <c r="H621" i="1"/>
  <c r="H648" i="1"/>
  <c r="H661" i="1"/>
  <c r="H675" i="1"/>
  <c r="H713" i="1"/>
  <c r="H727" i="1"/>
  <c r="G229" i="1"/>
  <c r="F226" i="1"/>
  <c r="H456" i="1"/>
  <c r="H516" i="1"/>
  <c r="H649" i="1"/>
  <c r="H323" i="1"/>
  <c r="F582" i="1"/>
  <c r="F581" i="1" s="1"/>
  <c r="F632" i="1"/>
  <c r="H632" i="1" s="1"/>
  <c r="H659" i="1"/>
  <c r="H311" i="1"/>
  <c r="H400" i="1"/>
  <c r="G417" i="1"/>
  <c r="H417" i="1" s="1"/>
  <c r="H483" i="1"/>
  <c r="H564" i="1"/>
  <c r="H615" i="1"/>
  <c r="H693" i="1"/>
  <c r="H280" i="1"/>
  <c r="H406" i="1"/>
  <c r="H750" i="1"/>
  <c r="H774" i="1"/>
  <c r="H782" i="1"/>
  <c r="H600" i="1"/>
  <c r="F639" i="1"/>
  <c r="F646" i="1"/>
  <c r="H31" i="1"/>
  <c r="H75" i="1"/>
  <c r="H89" i="1"/>
  <c r="H108" i="1"/>
  <c r="H119" i="1"/>
  <c r="H174" i="1"/>
  <c r="H249" i="1"/>
  <c r="H291" i="1"/>
  <c r="G474" i="1"/>
  <c r="H474" i="1" s="1"/>
  <c r="H538" i="1"/>
  <c r="H584" i="1"/>
  <c r="H602" i="1"/>
  <c r="H644" i="1"/>
  <c r="H656" i="1"/>
  <c r="G671" i="1"/>
  <c r="G670" i="1" s="1"/>
  <c r="G669" i="1" s="1"/>
  <c r="G668" i="1" s="1"/>
  <c r="G667" i="1" s="1"/>
  <c r="H722" i="1"/>
  <c r="H752" i="1"/>
  <c r="H779" i="1"/>
  <c r="H123" i="1"/>
  <c r="H216" i="1"/>
  <c r="H589" i="1"/>
  <c r="H781" i="1"/>
  <c r="H500" i="1"/>
  <c r="H598" i="1"/>
  <c r="H421" i="1"/>
  <c r="H115" i="1"/>
  <c r="H201" i="1"/>
  <c r="H288" i="1"/>
  <c r="H305" i="1"/>
  <c r="H350" i="1"/>
  <c r="H407" i="1"/>
  <c r="H420" i="1"/>
  <c r="H557" i="1"/>
  <c r="H635" i="1"/>
  <c r="H642" i="1"/>
  <c r="H651" i="1"/>
  <c r="H676" i="1"/>
  <c r="H767" i="1"/>
  <c r="H175" i="1"/>
  <c r="H401" i="1"/>
  <c r="H478" i="1"/>
  <c r="H506" i="1"/>
  <c r="H551" i="1"/>
  <c r="H588" i="1"/>
  <c r="H663" i="1"/>
  <c r="H710" i="1"/>
  <c r="H705" i="1"/>
  <c r="H706" i="1"/>
  <c r="H695" i="1"/>
  <c r="H674" i="1"/>
  <c r="H570" i="1"/>
  <c r="H469" i="1"/>
  <c r="G466" i="1"/>
  <c r="H457" i="1"/>
  <c r="H397" i="1"/>
  <c r="H292" i="1"/>
  <c r="H259" i="1"/>
  <c r="H252" i="1"/>
  <c r="G214" i="1"/>
  <c r="G213" i="1" s="1"/>
  <c r="G212" i="1" s="1"/>
  <c r="H212" i="1" s="1"/>
  <c r="H215" i="1"/>
  <c r="H111" i="1"/>
  <c r="G107" i="1"/>
  <c r="H107" i="1" s="1"/>
  <c r="H102" i="1"/>
  <c r="H85" i="1"/>
  <c r="G74" i="1"/>
  <c r="G435" i="1"/>
  <c r="H436" i="1"/>
  <c r="G619" i="1"/>
  <c r="H620" i="1"/>
  <c r="G646" i="1"/>
  <c r="H647" i="1"/>
  <c r="G716" i="1"/>
  <c r="H717" i="1"/>
  <c r="F326" i="1"/>
  <c r="H326" i="1" s="1"/>
  <c r="H327" i="1"/>
  <c r="F728" i="1"/>
  <c r="G55" i="1"/>
  <c r="H56" i="1"/>
  <c r="G209" i="1"/>
  <c r="H210" i="1"/>
  <c r="G264" i="1"/>
  <c r="H264" i="1" s="1"/>
  <c r="H265" i="1"/>
  <c r="G776" i="1"/>
  <c r="H776" i="1" s="1"/>
  <c r="H777" i="1"/>
  <c r="F121" i="1"/>
  <c r="H121" i="1" s="1"/>
  <c r="H122" i="1"/>
  <c r="F561" i="1"/>
  <c r="F560" i="1" s="1"/>
  <c r="F559" i="1" s="1"/>
  <c r="H562" i="1"/>
  <c r="F623" i="1"/>
  <c r="F622" i="1" s="1"/>
  <c r="H622" i="1" s="1"/>
  <c r="G48" i="1"/>
  <c r="H49" i="1"/>
  <c r="G62" i="1"/>
  <c r="H62" i="1" s="1"/>
  <c r="H63" i="1"/>
  <c r="G96" i="1"/>
  <c r="H96" i="1" s="1"/>
  <c r="H97" i="1"/>
  <c r="G104" i="1"/>
  <c r="H104" i="1" s="1"/>
  <c r="G128" i="1"/>
  <c r="H129" i="1"/>
  <c r="H144" i="1"/>
  <c r="G192" i="1"/>
  <c r="H192" i="1" s="1"/>
  <c r="H193" i="1"/>
  <c r="G222" i="1"/>
  <c r="H223" i="1"/>
  <c r="G278" i="1"/>
  <c r="H279" i="1"/>
  <c r="G308" i="1"/>
  <c r="H308" i="1" s="1"/>
  <c r="H309" i="1"/>
  <c r="G317" i="1"/>
  <c r="H317" i="1" s="1"/>
  <c r="H318" i="1"/>
  <c r="G332" i="1"/>
  <c r="H333" i="1"/>
  <c r="G338" i="1"/>
  <c r="H338" i="1" s="1"/>
  <c r="G347" i="1"/>
  <c r="H347" i="1" s="1"/>
  <c r="H348" i="1"/>
  <c r="G367" i="1"/>
  <c r="H367" i="1" s="1"/>
  <c r="H368" i="1"/>
  <c r="G394" i="1"/>
  <c r="H505" i="1"/>
  <c r="H745" i="1"/>
  <c r="H390" i="1"/>
  <c r="H28" i="1"/>
  <c r="H40" i="1"/>
  <c r="G79" i="1"/>
  <c r="H117" i="1"/>
  <c r="H167" i="1"/>
  <c r="H183" i="1"/>
  <c r="H513" i="1"/>
  <c r="H324" i="1"/>
  <c r="H414" i="1"/>
  <c r="H430" i="1"/>
  <c r="H543" i="1"/>
  <c r="H633" i="1"/>
  <c r="H734" i="1"/>
  <c r="G424" i="1"/>
  <c r="H425" i="1"/>
  <c r="H460" i="1"/>
  <c r="H472" i="1"/>
  <c r="G471" i="1"/>
  <c r="H471" i="1" s="1"/>
  <c r="G639" i="1"/>
  <c r="H640" i="1"/>
  <c r="G681" i="1"/>
  <c r="H682" i="1"/>
  <c r="F314" i="1"/>
  <c r="F359" i="1"/>
  <c r="F358" i="1" s="1"/>
  <c r="F357" i="1" s="1"/>
  <c r="H357" i="1" s="1"/>
  <c r="H360" i="1"/>
  <c r="F380" i="1"/>
  <c r="H380" i="1" s="1"/>
  <c r="H381" i="1"/>
  <c r="F428" i="1"/>
  <c r="H428" i="1" s="1"/>
  <c r="H429" i="1"/>
  <c r="F480" i="1"/>
  <c r="H480" i="1" s="1"/>
  <c r="H481" i="1"/>
  <c r="F525" i="1"/>
  <c r="F524" i="1" s="1"/>
  <c r="F523" i="1" s="1"/>
  <c r="H523" i="1" s="1"/>
  <c r="H526" i="1"/>
  <c r="G16" i="1"/>
  <c r="H16" i="1" s="1"/>
  <c r="H17" i="1"/>
  <c r="G68" i="1"/>
  <c r="H69" i="1"/>
  <c r="G133" i="1"/>
  <c r="H134" i="1"/>
  <c r="G182" i="1"/>
  <c r="H185" i="1"/>
  <c r="G234" i="1"/>
  <c r="H235" i="1"/>
  <c r="G285" i="1"/>
  <c r="G296" i="1"/>
  <c r="H297" i="1"/>
  <c r="G320" i="1"/>
  <c r="H320" i="1" s="1"/>
  <c r="H321" i="1"/>
  <c r="G732" i="1"/>
  <c r="H733" i="1"/>
  <c r="G754" i="1"/>
  <c r="H754" i="1" s="1"/>
  <c r="H755" i="1"/>
  <c r="G353" i="1"/>
  <c r="H353" i="1" s="1"/>
  <c r="H354" i="1"/>
  <c r="G370" i="1"/>
  <c r="H370" i="1" s="1"/>
  <c r="H371" i="1"/>
  <c r="G383" i="1"/>
  <c r="H383" i="1" s="1"/>
  <c r="H384" i="1"/>
  <c r="G404" i="1"/>
  <c r="H405" i="1"/>
  <c r="G451" i="1"/>
  <c r="H452" i="1"/>
  <c r="G520" i="1"/>
  <c r="H521" i="1"/>
  <c r="G535" i="1"/>
  <c r="H536" i="1"/>
  <c r="G545" i="1"/>
  <c r="H545" i="1" s="1"/>
  <c r="H546" i="1"/>
  <c r="G555" i="1"/>
  <c r="H556" i="1"/>
  <c r="G607" i="1"/>
  <c r="H608" i="1"/>
  <c r="H683" i="1"/>
  <c r="H491" i="1"/>
  <c r="H572" i="1"/>
  <c r="H18" i="1"/>
  <c r="H256" i="1"/>
  <c r="H336" i="1"/>
  <c r="H398" i="1"/>
  <c r="H190" i="1"/>
  <c r="H198" i="1"/>
  <c r="H261" i="1"/>
  <c r="H447" i="1"/>
  <c r="H612" i="1"/>
  <c r="H50" i="1"/>
  <c r="H244" i="1"/>
  <c r="H272" i="1"/>
  <c r="H345" i="1"/>
  <c r="H699" i="1"/>
  <c r="H497" i="1"/>
  <c r="F296" i="1"/>
  <c r="F295" i="1" s="1"/>
  <c r="F294" i="1" s="1"/>
  <c r="G84" i="1"/>
  <c r="G510" i="1"/>
  <c r="G515" i="1"/>
  <c r="H515" i="1" s="1"/>
  <c r="G561" i="1"/>
  <c r="G614" i="1"/>
  <c r="H614" i="1" s="1"/>
  <c r="G749" i="1"/>
  <c r="H749" i="1" s="1"/>
  <c r="H101" i="1"/>
  <c r="H158" i="1"/>
  <c r="H250" i="1"/>
  <c r="H274" i="1"/>
  <c r="H306" i="1"/>
  <c r="H351" i="1"/>
  <c r="H484" i="1"/>
  <c r="H533" i="1"/>
  <c r="H577" i="1"/>
  <c r="H587" i="1"/>
  <c r="H603" i="1"/>
  <c r="H657" i="1"/>
  <c r="H665" i="1"/>
  <c r="H689" i="1"/>
  <c r="H701" i="1"/>
  <c r="H704" i="1"/>
  <c r="H712" i="1"/>
  <c r="H740" i="1"/>
  <c r="H768" i="1"/>
  <c r="H780" i="1"/>
  <c r="H784" i="1"/>
  <c r="F195" i="1"/>
  <c r="F510" i="1"/>
  <c r="F509" i="1" s="1"/>
  <c r="F508" i="1" s="1"/>
  <c r="F597" i="1"/>
  <c r="F748" i="1"/>
  <c r="F747" i="1" s="1"/>
  <c r="G114" i="1"/>
  <c r="H87" i="1"/>
  <c r="H124" i="1"/>
  <c r="H241" i="1"/>
  <c r="H253" i="1"/>
  <c r="H269" i="1"/>
  <c r="H273" i="1"/>
  <c r="H289" i="1"/>
  <c r="H387" i="1"/>
  <c r="H415" i="1"/>
  <c r="H431" i="1"/>
  <c r="H467" i="1"/>
  <c r="H654" i="1"/>
  <c r="H660" i="1"/>
  <c r="H664" i="1"/>
  <c r="H672" i="1"/>
  <c r="H700" i="1"/>
  <c r="H711" i="1"/>
  <c r="H771" i="1"/>
  <c r="H783" i="1"/>
  <c r="G164" i="1"/>
  <c r="G239" i="1"/>
  <c r="G721" i="1"/>
  <c r="G23" i="1"/>
  <c r="G187" i="1"/>
  <c r="G499" i="1"/>
  <c r="G597" i="1"/>
  <c r="G39" i="1"/>
  <c r="G148" i="1"/>
  <c r="F671" i="1"/>
  <c r="F459" i="1"/>
  <c r="F721" i="1"/>
  <c r="F182" i="1"/>
  <c r="F535" i="1"/>
  <c r="F531" i="1" s="1"/>
  <c r="F530" i="1" s="1"/>
  <c r="F529" i="1" s="1"/>
  <c r="F248" i="1"/>
  <c r="F247" i="1" s="1"/>
  <c r="F246" i="1" s="1"/>
  <c r="F442" i="1"/>
  <c r="F441" i="1" s="1"/>
  <c r="F15" i="1"/>
  <c r="F84" i="1"/>
  <c r="F83" i="1" s="1"/>
  <c r="F82" i="1" s="1"/>
  <c r="F412" i="1"/>
  <c r="F411" i="1" s="1"/>
  <c r="F451" i="1"/>
  <c r="F569" i="1"/>
  <c r="F568" i="1" s="1"/>
  <c r="F567" i="1" s="1"/>
  <c r="F593" i="1"/>
  <c r="F177" i="1"/>
  <c r="F23" i="1"/>
  <c r="F187" i="1"/>
  <c r="F466" i="1"/>
  <c r="F766" i="1"/>
  <c r="F765" i="1" s="1"/>
  <c r="F764" i="1" s="1"/>
  <c r="F39" i="1"/>
  <c r="F38" i="1" s="1"/>
  <c r="F37" i="1" s="1"/>
  <c r="F36" i="1" s="1"/>
  <c r="F55" i="1"/>
  <c r="F54" i="1" s="1"/>
  <c r="F53" i="1" s="1"/>
  <c r="F52" i="1" s="1"/>
  <c r="F576" i="1"/>
  <c r="F575" i="1" s="1"/>
  <c r="F239" i="1"/>
  <c r="F238" i="1" s="1"/>
  <c r="F237" i="1" s="1"/>
  <c r="F486" i="1"/>
  <c r="F200" i="1"/>
  <c r="F688" i="1"/>
  <c r="F687" i="1" s="1"/>
  <c r="F686" i="1" s="1"/>
  <c r="F499" i="1"/>
  <c r="F607" i="1"/>
  <c r="F606" i="1" s="1"/>
  <c r="F605" i="1" s="1"/>
  <c r="H93" i="1" l="1"/>
  <c r="F92" i="1"/>
  <c r="G92" i="1"/>
  <c r="F685" i="1"/>
  <c r="H694" i="1"/>
  <c r="H696" i="1"/>
  <c r="F331" i="1"/>
  <c r="F330" i="1" s="1"/>
  <c r="F329" i="1" s="1"/>
  <c r="H595" i="1"/>
  <c r="H262" i="1"/>
  <c r="H332" i="1"/>
  <c r="G331" i="1"/>
  <c r="H639" i="1"/>
  <c r="H742" i="1"/>
  <c r="F363" i="1"/>
  <c r="F362" i="1" s="1"/>
  <c r="G363" i="1"/>
  <c r="F379" i="1"/>
  <c r="F378" i="1" s="1"/>
  <c r="F373" i="1" s="1"/>
  <c r="H646" i="1"/>
  <c r="F148" i="1"/>
  <c r="F147" i="1" s="1"/>
  <c r="F146" i="1" s="1"/>
  <c r="G486" i="1"/>
  <c r="F164" i="1"/>
  <c r="H164" i="1" s="1"/>
  <c r="H624" i="1"/>
  <c r="H494" i="1"/>
  <c r="H160" i="1"/>
  <c r="G442" i="1"/>
  <c r="G441" i="1" s="1"/>
  <c r="H466" i="1"/>
  <c r="G688" i="1"/>
  <c r="G687" i="1" s="1"/>
  <c r="F100" i="1"/>
  <c r="F99" i="1" s="1"/>
  <c r="G248" i="1"/>
  <c r="G247" i="1" s="1"/>
  <c r="H365" i="1"/>
  <c r="G576" i="1"/>
  <c r="G575" i="1" s="1"/>
  <c r="G574" i="1" s="1"/>
  <c r="H203" i="1"/>
  <c r="H597" i="1"/>
  <c r="H214" i="1"/>
  <c r="H762" i="1"/>
  <c r="F91" i="1"/>
  <c r="G738" i="1"/>
  <c r="G737" i="1" s="1"/>
  <c r="H737" i="1" s="1"/>
  <c r="H743" i="1"/>
  <c r="H342" i="1"/>
  <c r="G177" i="1"/>
  <c r="H177" i="1" s="1"/>
  <c r="H315" i="1"/>
  <c r="H339" i="1"/>
  <c r="H625" i="1"/>
  <c r="F631" i="1"/>
  <c r="H139" i="1"/>
  <c r="H459" i="1"/>
  <c r="F282" i="1"/>
  <c r="F225" i="1" s="1"/>
  <c r="G14" i="1"/>
  <c r="H14" i="1" s="1"/>
  <c r="F760" i="1"/>
  <c r="F759" i="1" s="1"/>
  <c r="F758" i="1" s="1"/>
  <c r="H758" i="1" s="1"/>
  <c r="H728" i="1"/>
  <c r="H200" i="1"/>
  <c r="G15" i="1"/>
  <c r="H15" i="1" s="1"/>
  <c r="H137" i="1"/>
  <c r="G379" i="1"/>
  <c r="H196" i="1"/>
  <c r="G375" i="1"/>
  <c r="H375" i="1" s="1"/>
  <c r="H138" i="1"/>
  <c r="H335" i="1"/>
  <c r="H524" i="1"/>
  <c r="H286" i="1"/>
  <c r="H395" i="1"/>
  <c r="H464" i="1"/>
  <c r="F33" i="1"/>
  <c r="H33" i="1" s="1"/>
  <c r="H34" i="1"/>
  <c r="H550" i="1"/>
  <c r="F720" i="1"/>
  <c r="F719" i="1" s="1"/>
  <c r="F708" i="1" s="1"/>
  <c r="G412" i="1"/>
  <c r="H412" i="1" s="1"/>
  <c r="H161" i="1"/>
  <c r="H729" i="1"/>
  <c r="F736" i="1"/>
  <c r="H552" i="1"/>
  <c r="H195" i="1"/>
  <c r="H549" i="1"/>
  <c r="H451" i="1"/>
  <c r="H105" i="1"/>
  <c r="H94" i="1"/>
  <c r="G228" i="1"/>
  <c r="H229" i="1"/>
  <c r="F410" i="1"/>
  <c r="F141" i="1"/>
  <c r="F304" i="1"/>
  <c r="F303" i="1" s="1"/>
  <c r="F302" i="1" s="1"/>
  <c r="H535" i="1"/>
  <c r="F592" i="1"/>
  <c r="F591" i="1" s="1"/>
  <c r="G593" i="1"/>
  <c r="H593" i="1" s="1"/>
  <c r="H499" i="1"/>
  <c r="H358" i="1"/>
  <c r="H213" i="1"/>
  <c r="G73" i="1"/>
  <c r="H74" i="1"/>
  <c r="F574" i="1"/>
  <c r="F670" i="1"/>
  <c r="H671" i="1"/>
  <c r="G582" i="1"/>
  <c r="H583" i="1"/>
  <c r="G38" i="1"/>
  <c r="H39" i="1"/>
  <c r="G91" i="1"/>
  <c r="G113" i="1"/>
  <c r="H113" i="1" s="1"/>
  <c r="H114" i="1"/>
  <c r="G83" i="1"/>
  <c r="H84" i="1"/>
  <c r="G606" i="1"/>
  <c r="H607" i="1"/>
  <c r="G554" i="1"/>
  <c r="H554" i="1" s="1"/>
  <c r="H555" i="1"/>
  <c r="G403" i="1"/>
  <c r="H403" i="1" s="1"/>
  <c r="H404" i="1"/>
  <c r="G731" i="1"/>
  <c r="H731" i="1" s="1"/>
  <c r="H732" i="1"/>
  <c r="G295" i="1"/>
  <c r="H296" i="1"/>
  <c r="G233" i="1"/>
  <c r="H234" i="1"/>
  <c r="G132" i="1"/>
  <c r="H133" i="1"/>
  <c r="G67" i="1"/>
  <c r="H68" i="1"/>
  <c r="G78" i="1"/>
  <c r="H79" i="1"/>
  <c r="G374" i="1"/>
  <c r="G221" i="1"/>
  <c r="H222" i="1"/>
  <c r="H143" i="1"/>
  <c r="G208" i="1"/>
  <c r="H209" i="1"/>
  <c r="G54" i="1"/>
  <c r="H55" i="1"/>
  <c r="G434" i="1"/>
  <c r="H435" i="1"/>
  <c r="G147" i="1"/>
  <c r="H148" i="1"/>
  <c r="H187" i="1"/>
  <c r="G720" i="1"/>
  <c r="H721" i="1"/>
  <c r="G238" i="1"/>
  <c r="H239" i="1"/>
  <c r="G560" i="1"/>
  <c r="H561" i="1"/>
  <c r="G567" i="1"/>
  <c r="H568" i="1"/>
  <c r="G519" i="1"/>
  <c r="H520" i="1"/>
  <c r="H442" i="1"/>
  <c r="G284" i="1"/>
  <c r="H285" i="1"/>
  <c r="G680" i="1"/>
  <c r="H681" i="1"/>
  <c r="G423" i="1"/>
  <c r="H423" i="1" s="1"/>
  <c r="H424" i="1"/>
  <c r="G393" i="1"/>
  <c r="H394" i="1"/>
  <c r="G277" i="1"/>
  <c r="H278" i="1"/>
  <c r="G127" i="1"/>
  <c r="H128" i="1"/>
  <c r="G47" i="1"/>
  <c r="H48" i="1"/>
  <c r="G715" i="1"/>
  <c r="H716" i="1"/>
  <c r="G618" i="1"/>
  <c r="H619" i="1"/>
  <c r="G22" i="1"/>
  <c r="H23" i="1"/>
  <c r="G509" i="1"/>
  <c r="H510" i="1"/>
  <c r="H486" i="1"/>
  <c r="H504" i="1"/>
  <c r="G631" i="1"/>
  <c r="G630" i="1" s="1"/>
  <c r="G748" i="1"/>
  <c r="G304" i="1"/>
  <c r="H623" i="1"/>
  <c r="H182" i="1"/>
  <c r="H314" i="1"/>
  <c r="F528" i="1"/>
  <c r="G766" i="1"/>
  <c r="G531" i="1"/>
  <c r="H576" i="1"/>
  <c r="H525" i="1"/>
  <c r="H359" i="1"/>
  <c r="H569" i="1"/>
  <c r="F440" i="1"/>
  <c r="H379" i="1" l="1"/>
  <c r="F356" i="1"/>
  <c r="F301" i="1" s="1"/>
  <c r="F156" i="1"/>
  <c r="F155" i="1" s="1"/>
  <c r="F71" i="1" s="1"/>
  <c r="H688" i="1"/>
  <c r="H575" i="1"/>
  <c r="H92" i="1"/>
  <c r="G156" i="1"/>
  <c r="H156" i="1" s="1"/>
  <c r="F22" i="1"/>
  <c r="F21" i="1" s="1"/>
  <c r="F20" i="1" s="1"/>
  <c r="F678" i="1"/>
  <c r="H738" i="1"/>
  <c r="H760" i="1"/>
  <c r="H248" i="1"/>
  <c r="F757" i="1"/>
  <c r="F630" i="1"/>
  <c r="F629" i="1" s="1"/>
  <c r="F628" i="1" s="1"/>
  <c r="H759" i="1"/>
  <c r="F439" i="1"/>
  <c r="F438" i="1" s="1"/>
  <c r="G378" i="1"/>
  <c r="H378" i="1" s="1"/>
  <c r="G227" i="1"/>
  <c r="H227" i="1" s="1"/>
  <c r="H228" i="1"/>
  <c r="G72" i="1"/>
  <c r="H72" i="1" s="1"/>
  <c r="H73" i="1"/>
  <c r="G765" i="1"/>
  <c r="H766" i="1"/>
  <c r="G330" i="1"/>
  <c r="H331" i="1"/>
  <c r="G686" i="1"/>
  <c r="G685" i="1" s="1"/>
  <c r="H687" i="1"/>
  <c r="G617" i="1"/>
  <c r="H617" i="1" s="1"/>
  <c r="H618" i="1"/>
  <c r="G46" i="1"/>
  <c r="H46" i="1" s="1"/>
  <c r="H47" i="1"/>
  <c r="G276" i="1"/>
  <c r="H276" i="1" s="1"/>
  <c r="H277" i="1"/>
  <c r="G283" i="1"/>
  <c r="H284" i="1"/>
  <c r="G518" i="1"/>
  <c r="H518" i="1" s="1"/>
  <c r="H519" i="1"/>
  <c r="G237" i="1"/>
  <c r="H238" i="1"/>
  <c r="G53" i="1"/>
  <c r="H54" i="1"/>
  <c r="G141" i="1"/>
  <c r="H141" i="1" s="1"/>
  <c r="H142" i="1"/>
  <c r="H374" i="1"/>
  <c r="G131" i="1"/>
  <c r="H131" i="1" s="1"/>
  <c r="H132" i="1"/>
  <c r="G294" i="1"/>
  <c r="H294" i="1" s="1"/>
  <c r="H295" i="1"/>
  <c r="G605" i="1"/>
  <c r="H606" i="1"/>
  <c r="G37" i="1"/>
  <c r="H38" i="1"/>
  <c r="F669" i="1"/>
  <c r="H670" i="1"/>
  <c r="G530" i="1"/>
  <c r="H531" i="1"/>
  <c r="G747" i="1"/>
  <c r="H748" i="1"/>
  <c r="G303" i="1"/>
  <c r="H304" i="1"/>
  <c r="G508" i="1"/>
  <c r="H508" i="1" s="1"/>
  <c r="H509" i="1"/>
  <c r="G21" i="1"/>
  <c r="G714" i="1"/>
  <c r="H714" i="1" s="1"/>
  <c r="H715" i="1"/>
  <c r="G126" i="1"/>
  <c r="H126" i="1" s="1"/>
  <c r="H127" i="1"/>
  <c r="G392" i="1"/>
  <c r="H392" i="1" s="1"/>
  <c r="H393" i="1"/>
  <c r="G679" i="1"/>
  <c r="H679" i="1" s="1"/>
  <c r="H680" i="1"/>
  <c r="H441" i="1"/>
  <c r="G440" i="1"/>
  <c r="H567" i="1"/>
  <c r="G246" i="1"/>
  <c r="H246" i="1" s="1"/>
  <c r="H247" i="1"/>
  <c r="G559" i="1"/>
  <c r="H559" i="1" s="1"/>
  <c r="H560" i="1"/>
  <c r="G719" i="1"/>
  <c r="H720" i="1"/>
  <c r="G146" i="1"/>
  <c r="H146" i="1" s="1"/>
  <c r="H147" i="1"/>
  <c r="G433" i="1"/>
  <c r="H433" i="1" s="1"/>
  <c r="H434" i="1"/>
  <c r="G207" i="1"/>
  <c r="H208" i="1"/>
  <c r="G220" i="1"/>
  <c r="H221" i="1"/>
  <c r="G77" i="1"/>
  <c r="H77" i="1" s="1"/>
  <c r="H78" i="1"/>
  <c r="G66" i="1"/>
  <c r="H67" i="1"/>
  <c r="G232" i="1"/>
  <c r="H233" i="1"/>
  <c r="G82" i="1"/>
  <c r="H82" i="1" s="1"/>
  <c r="H83" i="1"/>
  <c r="H91" i="1"/>
  <c r="G581" i="1"/>
  <c r="H581" i="1" s="1"/>
  <c r="H582" i="1"/>
  <c r="H574" i="1"/>
  <c r="F566" i="1"/>
  <c r="G362" i="1"/>
  <c r="H363" i="1"/>
  <c r="H631" i="1"/>
  <c r="G100" i="1"/>
  <c r="G411" i="1"/>
  <c r="G155" i="1" l="1"/>
  <c r="H155" i="1" s="1"/>
  <c r="F13" i="1"/>
  <c r="H22" i="1"/>
  <c r="G373" i="1"/>
  <c r="H373" i="1" s="1"/>
  <c r="F409" i="1"/>
  <c r="G566" i="1"/>
  <c r="H566" i="1" s="1"/>
  <c r="G410" i="1"/>
  <c r="H411" i="1"/>
  <c r="G439" i="1"/>
  <c r="H440" i="1"/>
  <c r="G629" i="1"/>
  <c r="H630" i="1"/>
  <c r="G226" i="1"/>
  <c r="H226" i="1" s="1"/>
  <c r="H232" i="1"/>
  <c r="G206" i="1"/>
  <c r="H207" i="1"/>
  <c r="G20" i="1"/>
  <c r="H21" i="1"/>
  <c r="G302" i="1"/>
  <c r="H303" i="1"/>
  <c r="G529" i="1"/>
  <c r="H530" i="1"/>
  <c r="G36" i="1"/>
  <c r="H36" i="1" s="1"/>
  <c r="H37" i="1"/>
  <c r="G329" i="1"/>
  <c r="H329" i="1" s="1"/>
  <c r="H330" i="1"/>
  <c r="G99" i="1"/>
  <c r="H100" i="1"/>
  <c r="H362" i="1"/>
  <c r="G65" i="1"/>
  <c r="H65" i="1" s="1"/>
  <c r="H66" i="1"/>
  <c r="G219" i="1"/>
  <c r="H220" i="1"/>
  <c r="G708" i="1"/>
  <c r="H708" i="1" s="1"/>
  <c r="H719" i="1"/>
  <c r="H747" i="1"/>
  <c r="G736" i="1"/>
  <c r="F668" i="1"/>
  <c r="H669" i="1"/>
  <c r="H605" i="1"/>
  <c r="G592" i="1"/>
  <c r="G52" i="1"/>
  <c r="H52" i="1" s="1"/>
  <c r="H53" i="1"/>
  <c r="H237" i="1"/>
  <c r="G282" i="1"/>
  <c r="H282" i="1" s="1"/>
  <c r="H283" i="1"/>
  <c r="H686" i="1"/>
  <c r="H685" i="1"/>
  <c r="G764" i="1"/>
  <c r="H765" i="1"/>
  <c r="G356" i="1" l="1"/>
  <c r="H356" i="1" s="1"/>
  <c r="G225" i="1"/>
  <c r="H225" i="1" s="1"/>
  <c r="G218" i="1"/>
  <c r="H218" i="1" s="1"/>
  <c r="H219" i="1"/>
  <c r="G528" i="1"/>
  <c r="H528" i="1" s="1"/>
  <c r="H529" i="1"/>
  <c r="H20" i="1"/>
  <c r="G438" i="1"/>
  <c r="H438" i="1" s="1"/>
  <c r="H439" i="1"/>
  <c r="G591" i="1"/>
  <c r="H591" i="1" s="1"/>
  <c r="H592" i="1"/>
  <c r="G678" i="1"/>
  <c r="H678" i="1" s="1"/>
  <c r="H736" i="1"/>
  <c r="H764" i="1"/>
  <c r="G757" i="1"/>
  <c r="H757" i="1" s="1"/>
  <c r="F667" i="1"/>
  <c r="H668" i="1"/>
  <c r="H99" i="1"/>
  <c r="G71" i="1"/>
  <c r="H71" i="1" s="1"/>
  <c r="H302" i="1"/>
  <c r="G301" i="1"/>
  <c r="H301" i="1" s="1"/>
  <c r="G205" i="1"/>
  <c r="H205" i="1" s="1"/>
  <c r="H206" i="1"/>
  <c r="G628" i="1"/>
  <c r="H629" i="1"/>
  <c r="H410" i="1"/>
  <c r="G627" i="1" l="1"/>
  <c r="H628" i="1"/>
  <c r="H667" i="1"/>
  <c r="F627" i="1"/>
  <c r="F786" i="1" s="1"/>
  <c r="G409" i="1"/>
  <c r="H409" i="1" s="1"/>
  <c r="G13" i="1"/>
  <c r="H13" i="1" l="1"/>
  <c r="G786" i="1"/>
  <c r="H786" i="1" s="1"/>
  <c r="H627" i="1"/>
</calcChain>
</file>

<file path=xl/sharedStrings.xml><?xml version="1.0" encoding="utf-8"?>
<sst xmlns="http://schemas.openxmlformats.org/spreadsheetml/2006/main" count="3882" uniqueCount="534">
  <si>
    <t>Наименование</t>
  </si>
  <si>
    <t>Раз-дел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</si>
  <si>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</si>
  <si>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</si>
  <si>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</si>
  <si>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</si>
  <si>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</si>
  <si>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</si>
  <si>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</si>
  <si>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</si>
  <si>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</si>
  <si>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</si>
  <si>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</si>
  <si>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</si>
  <si>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</si>
  <si>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Партизанского муниципального округа</t>
  </si>
  <si>
    <t>9999910010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</si>
  <si>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</si>
  <si>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</si>
  <si>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выплаты персоналу государственных (муниципальных) органов 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</si>
  <si>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</si>
  <si>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</si>
  <si>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</si>
  <si>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 Партизанского муниципального округа</t>
  </si>
  <si>
    <t>9999910020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</si>
  <si>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</si>
  <si>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</si>
  <si>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</si>
  <si>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</si>
  <si>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</si>
  <si>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</si>
  <si>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</si>
  <si>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</si>
  <si>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Премии и гранты</t>
  </si>
  <si>
    <t>350</t>
  </si>
  <si>
    <t>Иные бюджетные ассигнования</t>
  </si>
  <si>
    <t>800</t>
  </si>
  <si>
    <t>Уплата налогов, сборов и иных платежей</t>
  </si>
  <si>
    <t>850</t>
  </si>
  <si>
    <t>Председатель представительного органа муниципального образования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</si>
  <si>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</si>
  <si>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</si>
  <si>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</si>
  <si>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</si>
  <si>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</si>
  <si>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</si>
  <si>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9999951200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</si>
  <si>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</si>
  <si>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</si>
  <si>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Председатель ревизионной комиссии Партизанского муниципального округа</t>
  </si>
  <si>
    <t>9999910040</t>
  </si>
  <si>
    <t>Резервные фонды</t>
  </si>
  <si>
    <t>11</t>
  </si>
  <si>
    <t>Резервный фонд администрации Партизанского муниципального округа</t>
  </si>
  <si>
    <t>9999920110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</si>
  <si>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</si>
  <si>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</si>
  <si>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</si>
  <si>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</si>
  <si>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"Развитие муниципальной службы в администрации Партизанского муниципального округа Приморского края на 2022-2026 годы"</t>
  </si>
  <si>
    <t>0100000000</t>
  </si>
  <si>
    <t>Мероприятия муниципальной программы  "Развитие муниципальной службы в администрации Партизанского муниципального округа Приморского края на 2022-2026 годы"</t>
  </si>
  <si>
    <t>0190000000</t>
  </si>
  <si>
    <t>Мероприятия по повышению квалификации, профессиональной подготовки, обучению и диспансеризации муниципальных служащих</t>
  </si>
  <si>
    <t>0190120160</t>
  </si>
  <si>
    <t>Муниципальная программа "Социальная поддержка населения Партизанского муниципального округа Приморского края" на 2021-2025 годы</t>
  </si>
  <si>
    <t>0500000000</t>
  </si>
  <si>
    <t>Мероприятия муниципальной программы "Социальная поддержка населения Партизанского муниципального округа Приморского края" на 2021-2025 годы</t>
  </si>
  <si>
    <t>0590000000</t>
  </si>
  <si>
    <t>Проведение социально значимых мероприятий</t>
  </si>
  <si>
    <t>0590320200</t>
  </si>
  <si>
    <t>Иные закупки товаров, работ и услуг для обеспечения государственных (муниципальных) нужд</t>
  </si>
  <si>
    <t>Муниципальная программа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</si>
  <si>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0600000000</t>
  </si>
  <si>
    <t>Мероприятия муниципальной программы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</si>
  <si>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0690000000</t>
  </si>
  <si>
    <t>Материально-техническое обеспечение деятельности учреждения</t>
  </si>
  <si>
    <t>0690140050</t>
  </si>
  <si>
    <t>Расходы на выплаты персоналу казенных учреждений</t>
  </si>
  <si>
    <t>110</t>
  </si>
  <si>
    <t>Муниципальная программа "Информационное общество Партизанского муниципального округа" на 2021-2026 годы</t>
  </si>
  <si>
    <t>0700000000</t>
  </si>
  <si>
    <t>Мероприятия муниципальной программы "Информационное общество Партизанского муниципального округа" на 2021-2026 годы</t>
  </si>
  <si>
    <t>0790000000</t>
  </si>
  <si>
    <t>Информационно-разяснительные мероприятия</t>
  </si>
  <si>
    <t>0790120370</t>
  </si>
  <si>
    <t>Мероприятия по развитию информационной системы, информационных сервисов и системы межведомственного электронного взаимодействия</t>
  </si>
  <si>
    <t>0790220240</t>
  </si>
  <si>
    <t>Муниципальная программа "Экономическое развитие Партизанского муниципального округа на 2021-2025 годы"</t>
  </si>
  <si>
    <t>0900000000</t>
  </si>
  <si>
    <t>Мероприятия муниципальной программы "Экономическое развитие Партизанского муниципального округа на 2021-2025 годы"</t>
  </si>
  <si>
    <t>0990000000</t>
  </si>
  <si>
    <t>Мероприятия по оценке недвижимости, признании прав в отношении муниципального имущества, обеспечение приватизации и проведение предпродажной подготовки объектов приватизации</t>
  </si>
  <si>
    <t>0990120010</t>
  </si>
  <si>
    <t>Содержание недвижимого имущества, находящегося в муниципальной казне</t>
  </si>
  <si>
    <t>0990120470</t>
  </si>
  <si>
    <t>Уплата налогов за муниципальное имущество</t>
  </si>
  <si>
    <t>0990120500</t>
  </si>
  <si>
    <t>Содержание и обслуживание движимого имущества</t>
  </si>
  <si>
    <t>0990120580</t>
  </si>
  <si>
    <t>Расходы на обеспечение деятельности (оказание услуг, выполнение работ) муниципальных учреждений</t>
  </si>
  <si>
    <t>0990140000</t>
  </si>
  <si>
    <t>Мероприятия по управлению муниципальной собственностью</t>
  </si>
  <si>
    <t>0990140010</t>
  </si>
  <si>
    <t>Муниципальная программа "Противодействие коррупции в Партизанском муниципальном округе на 2024-2026 годы"</t>
  </si>
  <si>
    <t>1000000000</t>
  </si>
  <si>
    <t>Мероприятия муниципальной программы "Противодействие коррупции в Партизанском муниципальном округе на 2024-2026 годы"</t>
  </si>
  <si>
    <t>1090000000</t>
  </si>
  <si>
    <t>Мероприятия по противодействию коррупции в Партизанском муниципальном округе</t>
  </si>
  <si>
    <t>1090120180</t>
  </si>
  <si>
    <t>Муниципальная программа "Улучшение условий труда в муниципальных учреждениях Партизанского муниципального округа на 2022-2026 годы"</t>
  </si>
  <si>
    <t>1100000000</t>
  </si>
  <si>
    <t>Мероприятия муниципальной программы "Улучшение условий труда в муниципальных учреждениях Партизанского муниципального округа на 2022-2026 годы"</t>
  </si>
  <si>
    <t>1190000000</t>
  </si>
  <si>
    <t>Мероприятия по улучшению условий труда в муниципальных учреждениях Партизанского муниципального округа</t>
  </si>
  <si>
    <t>1190120190</t>
  </si>
  <si>
    <t>Муниципальная программа "Развитие архивного дела в Партизанском муниципальном округе" на 2024-2028 годы</t>
  </si>
  <si>
    <t>1500000000</t>
  </si>
  <si>
    <t>Мероприятия муниципальной программы "Развитие архивного дела в Партизанском муниципальном округе" на 2024-2028 годы</t>
  </si>
  <si>
    <t>1590000000</t>
  </si>
  <si>
    <t>Проведение мероприятий по приобретению и установки материально-технических средств, проведение мероприятий архивной службы Партизанского муниципального округа</t>
  </si>
  <si>
    <t>1590120090</t>
  </si>
  <si>
    <t>Муниципальная программа «Укрепление общественного здоровья населения Партизанского муниципального округа Приморского края» на 2021-2024 годы</t>
  </si>
  <si>
    <t>2900000000</t>
  </si>
  <si>
    <t>Мероприятия муниципальной программы «Укрепление общественного здоровья населения Партизанского муниципального округа Приморского края» на 2021-2024 годы</t>
  </si>
  <si>
    <t>2990000000</t>
  </si>
  <si>
    <t>Содействие в организации работы выездной бригады специалистов для проведения профилактических и медицинских осмотров на территории Партизанского муниципального округа</t>
  </si>
  <si>
    <t>2990120570</t>
  </si>
  <si>
    <t>Муниципальная программа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 на 2023-2027 годы</t>
  </si>
  <si>
    <t>3000000000</t>
  </si>
  <si>
    <t>Мероприятия муниципальной программы 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округе" на 2023-2027 годы</t>
  </si>
  <si>
    <t>3090000000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</si>
  <si>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</si>
  <si>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3090193210</t>
  </si>
  <si>
    <t>Муниципальная программа "Территория комфорта на 2024 - 2028 годы"</t>
  </si>
  <si>
    <t>3300000000</t>
  </si>
  <si>
    <t>Мероприятия муниципальной программы "Территория комфорта на 2024 - 2028 годы"</t>
  </si>
  <si>
    <t>3390000000</t>
  </si>
  <si>
    <t>3390140050</t>
  </si>
  <si>
    <t>Мероприятия, проводимые администрацией Партизанского муниципального округа</t>
  </si>
  <si>
    <t>9999920100</t>
  </si>
  <si>
    <t>Расходы, связанные с исполнением решений, принятых судебными органами</t>
  </si>
  <si>
    <t>9999920250</t>
  </si>
  <si>
    <t>Исполнение судебных актов</t>
  </si>
  <si>
    <t>830</t>
  </si>
  <si>
    <t>Мероприятия по реорганизации и ликвидации учреждений</t>
  </si>
  <si>
    <t>9999920530</t>
  </si>
  <si>
    <t>Осуществление переданных полномочий Российской Федерации на государственную регистрацию актов гражданского состояния</t>
  </si>
  <si>
    <t>9999959300</t>
  </si>
  <si>
    <t>Создание и обеспечение деятельности комиссий по делам несовершеннолетних и защите их прав</t>
  </si>
  <si>
    <t>9999993010</t>
  </si>
  <si>
    <t>Реализация отдельных государственных полномочий по созданию административных комиссий</t>
  </si>
  <si>
    <t>9999993030</t>
  </si>
  <si>
    <t>Осуществление отдельных государственных полномочий по государственному управлению охраной труда</t>
  </si>
  <si>
    <t>9999993100</t>
  </si>
  <si>
    <t>Реализация государственного полномочия в сфере транспортного обслуживания по муниципальным маршрутам в границах муниципальных образований</t>
  </si>
  <si>
    <t>9999993130</t>
  </si>
  <si>
    <t>Осуществление государственных полномочий органов опеки и попечительства в отношении несовершеннолетних</t>
  </si>
  <si>
    <t>9999993160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</si>
  <si>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</si>
  <si>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9999993180
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</si>
  <si>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</si>
  <si>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</si>
  <si>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</si>
  <si>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</si>
  <si>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Другие вопросы в области национальной обороны</t>
  </si>
  <si>
    <t>09</t>
  </si>
  <si>
    <t>Мероприятия по обеспечению мобилизационной подготовки, мобилизации и мероприятий, связанных с проведением специальной военной операции</t>
  </si>
  <si>
    <t>9999920460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</si>
  <si>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</si>
  <si>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</si>
  <si>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</si>
  <si>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Мероприятия по предупреждению и ликвидации последствий чрезвычайных ситуаций и стихийных бедствий </t>
  </si>
  <si>
    <t>0690120020</t>
  </si>
  <si>
    <t>НАЦИОНАЛЬНАЯ ЭКОНОМИКА</t>
  </si>
  <si>
    <t>Сельское хозяйство и рыболовство</t>
  </si>
  <si>
    <t>Муниципальная программа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</si>
  <si>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3400000000</t>
  </si>
  <si>
    <t>Мероприятия муниципальной программы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</si>
  <si>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3490100000</t>
  </si>
  <si>
    <t>Мероприятия, связанные со стимулированием перевода биологически незащищенных свиноводческих хозяйств на альтернативное животноводство</t>
  </si>
  <si>
    <t>3490120590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</si>
  <si>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</si>
  <si>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</si>
  <si>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</si>
  <si>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9999993040</t>
  </si>
  <si>
    <t>Транспорт</t>
  </si>
  <si>
    <t>08</t>
  </si>
  <si>
    <t>Муниципальная программа "Развитие транспортного комплекса Партизанского муниципального округа" на 2021-2025 годы</t>
  </si>
  <si>
    <t>0800000000</t>
  </si>
  <si>
    <t>Подпрограмма "Развитие транспортного комплекса в Партизанском муниципальном округе на 2021-2025 годы"</t>
  </si>
  <si>
    <t>0810000000</t>
  </si>
  <si>
    <t xml:space="preserve">Осуществление регулярных пассажирских перевозок автомобильным транспортом по регулируемым тарифам </t>
  </si>
  <si>
    <t>0810160030</t>
  </si>
  <si>
    <t xml:space="preserve">Организация транспортного обслуживания населения в границах муниципальных образований Приморского края </t>
  </si>
  <si>
    <t>08101S2410</t>
  </si>
  <si>
    <t>Дорожное хозяйство (дорожные фонды)</t>
  </si>
  <si>
    <t>Подпрограмма "Развитие дорожной отрасли в Партизанском муниципальном округе" на 2021-2025 годы</t>
  </si>
  <si>
    <t>0820000000</t>
  </si>
  <si>
    <t>Содержание автомобильных дорог на территории Партизанского муниципального округа</t>
  </si>
  <si>
    <t>0820120030</t>
  </si>
  <si>
    <t>Ремонт автомобильных дорог на территории Партизанского муниципального округа</t>
  </si>
  <si>
    <t>0820120040</t>
  </si>
  <si>
    <t>Проектирование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</t>
  </si>
  <si>
    <t>0820120080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</si>
  <si>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</si>
  <si>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</si>
  <si>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</si>
  <si>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</si>
  <si>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Мероприятия по ликвидации чрезвычайных ситуаций природного и техногенного характера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</si>
  <si>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0820123800</t>
  </si>
  <si>
    <t>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дорожного фонда Приморского края</t>
  </si>
  <si>
    <t>08201S2380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</si>
  <si>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</si>
  <si>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08201S2390</t>
  </si>
  <si>
    <t>Подпрограмма "Повышение безопасности дорожного движения в Партизанском муниципальном округе" на 2021-2025 годы"</t>
  </si>
  <si>
    <t>0830000000</t>
  </si>
  <si>
    <t>0830120030</t>
  </si>
  <si>
    <t>Поддержка проектов, инициируемых жителями муниципальных образований, по решению вопросов местного значения</t>
  </si>
  <si>
    <t>3390194030</t>
  </si>
  <si>
    <t>Связь и информатика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</si>
  <si>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</si>
  <si>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3200000000</t>
  </si>
  <si>
    <t>Мероприятия муниципальной программы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</si>
  <si>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3290000000</t>
  </si>
  <si>
    <t>Создание условий для обеспечения услугами связи малочисленных и труднодоступных населенных пунктов Приморского края</t>
  </si>
  <si>
    <t>32901S2090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</si>
  <si>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</si>
  <si>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</si>
  <si>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</si>
  <si>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0990120060</t>
  </si>
  <si>
    <t>Подготовка проектов межевания земель и на проведение кадастровых работ</t>
  </si>
  <si>
    <t>09901L5990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</si>
  <si>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</t>
  </si>
  <si>
    <t>09901S2670</t>
  </si>
  <si>
    <t>Муниципальная программа "Развитие малого и среднего предпринимательства в Партизанском муниципальном округе" на 2022-2027 годы</t>
  </si>
  <si>
    <t>1700000000</t>
  </si>
  <si>
    <t>Мероприятия муниципальной программы "Развитие малого и среднего предпринимательства в Партизанском муниципальном округе" на 2022-2027 годы</t>
  </si>
  <si>
    <t>1790000000</t>
  </si>
  <si>
    <t>Организация и проведение мероприятий связанных с предпринимательской деятельностью</t>
  </si>
  <si>
    <t>1790120170</t>
  </si>
  <si>
    <t>ЖИЛИЩНО-КОММУНАЛЬНОЕ ХОЗЯЙСТВО</t>
  </si>
  <si>
    <t>Жилищное хозяйство</t>
  </si>
  <si>
    <t>Муниципальная программа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</si>
  <si>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2500000000</t>
  </si>
  <si>
    <t>Мероприятия муниципальной программы 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</si>
  <si>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2590000000</t>
  </si>
  <si>
    <t>Мероприятия по капитальному ремонту помещений муниципальной собственности</t>
  </si>
  <si>
    <t>2590120150</t>
  </si>
  <si>
    <t>2590120250</t>
  </si>
  <si>
    <t>2590120470</t>
  </si>
  <si>
    <t>Проведение работ по формированию и проведению государственного кадастрового учета земельных участков, на которых расположены аварийные многоквартирные дома, снос аварийных жилых домов</t>
  </si>
  <si>
    <t>2590220280</t>
  </si>
  <si>
    <t>2590320250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</si>
  <si>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</si>
  <si>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259F367483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</si>
  <si>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</t>
  </si>
  <si>
    <t>259F367484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</si>
  <si>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районного бюджета</t>
  </si>
  <si>
    <t>259F36748S</t>
  </si>
  <si>
    <t>Коммунальное хозяйство</t>
  </si>
  <si>
    <t>Муниципальная программа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</si>
  <si>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1800000000</t>
  </si>
  <si>
    <t>Мероприятия муниципальной программы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</si>
  <si>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1890000000</t>
  </si>
  <si>
    <t>1890120250</t>
  </si>
  <si>
    <t>Ремонт сетей водоснабжения, водоотведения</t>
  </si>
  <si>
    <t>1890170020</t>
  </si>
  <si>
    <t xml:space="preserve">Ремонт сетей и объектов теплоснабжения </t>
  </si>
  <si>
    <t>1890270050</t>
  </si>
  <si>
    <t>Ремонт, капитальный ремонт линий электропередач</t>
  </si>
  <si>
    <t>1890370190</t>
  </si>
  <si>
    <t>Создание и развитие системы газоснабжения муниципальных образований</t>
  </si>
  <si>
    <t>18906S2280</t>
  </si>
  <si>
    <t xml:space="preserve">Обеспечение граждан твердым топливом (дровами) </t>
  </si>
  <si>
    <t>1890720400</t>
  </si>
  <si>
    <t xml:space="preserve">Обеспечение граждан твердым топливом </t>
  </si>
  <si>
    <t>18907S2620</t>
  </si>
  <si>
    <t>Обеспечение инфраструктурой земельных участков, предоставленных (предоставляемых) на бесплатной основе гражданам, имеющим трех и более детей</t>
  </si>
  <si>
    <t>1890820520</t>
  </si>
  <si>
    <t>Благоустройство</t>
  </si>
  <si>
    <t xml:space="preserve">Муниципальная программа "Развитие культуры Партизанского муниципального округа Приморского края" на 2021-2027 годы </t>
  </si>
  <si>
    <t>0300000000</t>
  </si>
  <si>
    <t xml:space="preserve">Мероприятия муниципальной программы "Развитие культуры Партизанского муниципального округа Приморского края" на 2021-2027 годы </t>
  </si>
  <si>
    <t>0390000000</t>
  </si>
  <si>
    <t>Создание, сохранение, использование и популяризация объектов культурного наследия (памятников истории и культуры)</t>
  </si>
  <si>
    <t>0390270160</t>
  </si>
  <si>
    <t>Содержание мест захоронения</t>
  </si>
  <si>
    <t>1890420290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</si>
  <si>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</si>
  <si>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18904S2170</t>
  </si>
  <si>
    <t>Обеспечение мероприятий по обращению  твердыми коммунальными отходами</t>
  </si>
  <si>
    <t>1890520560</t>
  </si>
  <si>
    <t>Муниципальная программа "Формирование современной городской среды Партизанского муниципального округа" на 2024-2027 годы</t>
  </si>
  <si>
    <t>3100000000</t>
  </si>
  <si>
    <t>Подпрограмма "Формирование современной городской среды Партизанского муниципального округа" на 2024-2027 годы</t>
  </si>
  <si>
    <t>3110000000</t>
  </si>
  <si>
    <t>Поддержка муниципальных программ по благоустройству территорий муниципальных образований</t>
  </si>
  <si>
    <t>31101S2610</t>
  </si>
  <si>
    <t>Подпрограмма "Благоустройство территорий, детских и спортивных площадок Партизанского муниципального округа" на 2024-2027 годы</t>
  </si>
  <si>
    <t>3120000000</t>
  </si>
  <si>
    <t>Основное мероприятие "Благоустройство территории Партизанского муниципального округа"</t>
  </si>
  <si>
    <t>3120100000</t>
  </si>
  <si>
    <t xml:space="preserve">Благоустройство территории </t>
  </si>
  <si>
    <t>3120120540</t>
  </si>
  <si>
    <t xml:space="preserve">Реализация проектов инициативного бюджетирования по направлению "Твой проект" </t>
  </si>
  <si>
    <t>31201S2361</t>
  </si>
  <si>
    <t>31201S2362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</si>
  <si>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</si>
  <si>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312F254240</t>
  </si>
  <si>
    <t>Благоустройство территории</t>
  </si>
  <si>
    <t>3390120540</t>
  </si>
  <si>
    <t>Мероприятия по обеспечению уличного освещения</t>
  </si>
  <si>
    <t>3390120550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</si>
  <si>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</si>
  <si>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</si>
  <si>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</si>
  <si>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ОБРАЗОВАНИЕ</t>
  </si>
  <si>
    <t>07</t>
  </si>
  <si>
    <t>Дошкольное образование</t>
  </si>
  <si>
    <t xml:space="preserve">Муниципальная программа "Развитие образования Партизанского муниципального округа" на 2022-2027 годы </t>
  </si>
  <si>
    <t>0200000000</t>
  </si>
  <si>
    <t xml:space="preserve">Подпрограмма "Развитие системы дошкольного образования" </t>
  </si>
  <si>
    <t>0210000000</t>
  </si>
  <si>
    <t>0210140000</t>
  </si>
  <si>
    <t>Детские дошкольные учреждения</t>
  </si>
  <si>
    <t>0210142000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</si>
  <si>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</si>
  <si>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</si>
  <si>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</si>
  <si>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</si>
  <si>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</si>
  <si>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0210193070</t>
  </si>
  <si>
    <t>Ремонт зданий муниципальных образовательных учреждений</t>
  </si>
  <si>
    <t>0210270060</t>
  </si>
  <si>
    <t xml:space="preserve">Подпрограмма «Совершенствование организации питания в образовательных учреждениях Партизанского муниципального округа» </t>
  </si>
  <si>
    <t>0250000000</t>
  </si>
  <si>
    <t>Основное мероприятие "Организация питания в образовательных учреждениях"</t>
  </si>
  <si>
    <t>0250100000</t>
  </si>
  <si>
    <t>Мероприятия по организации питания в образовательных учреждениях</t>
  </si>
  <si>
    <t>0250120440</t>
  </si>
  <si>
    <t xml:space="preserve">Муниципальная программа "Комплексная безопасность образовательных учреждений Партизанского муниципального округа" на 2022-2025 годы </t>
  </si>
  <si>
    <t>2300000000</t>
  </si>
  <si>
    <t xml:space="preserve">Мероприятия муниципальной программы "Комплексная безопасность образовательных учреждений Партизанского муниципального округа" на 2022-2025 годы </t>
  </si>
  <si>
    <t>2390000000</t>
  </si>
  <si>
    <t>Комплексная безопасность образовательных учреждений</t>
  </si>
  <si>
    <t>2390120270</t>
  </si>
  <si>
    <t>Общее образование</t>
  </si>
  <si>
    <t>Подпрограмма "Развитие системы общего образования"</t>
  </si>
  <si>
    <t>0220000000</t>
  </si>
  <si>
    <t>0220140000</t>
  </si>
  <si>
    <t>Школы - детские сады, школы начальные, неполные средние и средние</t>
  </si>
  <si>
    <t>0220142100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</si>
  <si>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</si>
  <si>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0220153030</t>
  </si>
  <si>
    <t>Средства благотворительного пожертвования</t>
  </si>
  <si>
    <t>0220177777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</si>
  <si>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</si>
  <si>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0220193060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</si>
  <si>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</si>
  <si>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02201R3040</t>
  </si>
  <si>
    <t>0220223800</t>
  </si>
  <si>
    <t>Дошкольные группы</t>
  </si>
  <si>
    <t>0220242110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</si>
  <si>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</si>
  <si>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0220250500</t>
  </si>
  <si>
    <t xml:space="preserve">Разработка, проверка проектно-сметной документации на строительство, реконструкцию объектов жилищно-коммунального и социально-культурного назначения </t>
  </si>
  <si>
    <t>0220270030</t>
  </si>
  <si>
    <t>0220270060</t>
  </si>
  <si>
    <t>Обеспечение бесплатным питанием детей, обучающихся в муниципальных образовательных организациях Приморского края</t>
  </si>
  <si>
    <t>0220293150</t>
  </si>
  <si>
    <t>Капитальный ремонт зданий муниципальных общеобразовательных учреждений</t>
  </si>
  <si>
    <t>02202S2340</t>
  </si>
  <si>
    <t>Реализация проектов инициативного бюджетирования по направлению "Молодежный бюджет"</t>
  </si>
  <si>
    <t>02202S2751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</si>
  <si>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</si>
  <si>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022EВ51790</t>
  </si>
  <si>
    <r>
      <rPr>
        <sz val="12"/>
        <rFont val="Times New Roman"/>
        <family val="1"/>
        <charset val="204"/>
      </rPr>
      <t>Подпрограмма</t>
    </r>
    <r>
      <rPr>
        <b/>
        <sz val="12"/>
        <rFont val="Times New Roman"/>
        <family val="1"/>
        <charset val="204"/>
      </rPr>
      <t xml:space="preserve"> «</t>
    </r>
    <r>
      <rPr>
        <sz val="12"/>
        <rFont val="Times New Roman"/>
        <family val="1"/>
        <charset val="204"/>
      </rPr>
      <t>Содействие созданию в Партизанском муниципальном округе новых мест в общеобразовательных учреждениях</t>
    </r>
    <r>
      <rPr>
        <b/>
        <sz val="12"/>
        <rFont val="Times New Roman"/>
        <family val="1"/>
        <charset val="204"/>
      </rPr>
      <t xml:space="preserve">» </t>
    </r>
  </si>
  <si>
    <t>0240000000</t>
  </si>
  <si>
    <t>0240170030</t>
  </si>
  <si>
    <t>Организация горячего питания обучающихся, за счет средств родительской платы</t>
  </si>
  <si>
    <t>0250142220</t>
  </si>
  <si>
    <t>Дополнительное образование детей</t>
  </si>
  <si>
    <t>Подпрограмма "Развитие системы дополнительного образования, отдыха, оздоровления и занятости детей и подростков"</t>
  </si>
  <si>
    <t>0230000000</t>
  </si>
  <si>
    <t>0230140000</t>
  </si>
  <si>
    <t>Центр детского творчества</t>
  </si>
  <si>
    <t>0230142320</t>
  </si>
  <si>
    <t xml:space="preserve">Детский оздоровительно - образовательный центр "Юность" </t>
  </si>
  <si>
    <t>0230142330</t>
  </si>
  <si>
    <t>Содержание и развитие спортивной инфраструктуры</t>
  </si>
  <si>
    <t>0230170220</t>
  </si>
  <si>
    <t>Мероприятия по обеспечению персонифицированного финансирования дополнительного образования детей</t>
  </si>
  <si>
    <t>0230420430</t>
  </si>
  <si>
    <t>Подпрограмма "Развитие системы дополнительного образования в области культуры Партизанского муниципального округа Приморского края"</t>
  </si>
  <si>
    <t>0310000000</t>
  </si>
  <si>
    <t>0310140000</t>
  </si>
  <si>
    <t>Детская школа искусств</t>
  </si>
  <si>
    <t>0310142310</t>
  </si>
  <si>
    <t>Молодежная политика</t>
  </si>
  <si>
    <t>Муниципальная программа "Реализация Стратегии государственной молодежной политики на территории Партизанского муниципального округа" на 2021-2025 годы</t>
  </si>
  <si>
    <t>1200000000</t>
  </si>
  <si>
    <t>Мероприятия муниципальной программы "Реализация Стратегии государственной молодежной политики на территории Партизанского муниципального округа" на 2021-2025 годы</t>
  </si>
  <si>
    <t>1290000000</t>
  </si>
  <si>
    <t>Проведение мероприятий для детей и молодежи</t>
  </si>
  <si>
    <t>1290120310</t>
  </si>
  <si>
    <t>Муниципальная программа "Патриотическое воспитание граждан Партизанского муниципального округа на 2021-2025 годы"</t>
  </si>
  <si>
    <t>1600000000</t>
  </si>
  <si>
    <t>Мероприятия муниципальной программы "Патриотическое воспитание граждан Партизанского муниципального округа на 2021-2025 годы"</t>
  </si>
  <si>
    <t>1690000000</t>
  </si>
  <si>
    <t>Организация и проведение мероприятий патриотической направленности</t>
  </si>
  <si>
    <t>1690120210</t>
  </si>
  <si>
    <t>Муниципальная программа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</si>
  <si>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2800000000</t>
  </si>
  <si>
    <t>Мероприятия муниципальной программы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</si>
  <si>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2890000000</t>
  </si>
  <si>
    <t xml:space="preserve">Мероприятия по профилактике терроризма и экстремизма, незаконного потребления наркотических средств и психотропных веществ, предупреждение безнадзорности, беспризорности и правонарушений среди несовершеннолетних </t>
  </si>
  <si>
    <t>2890120380</t>
  </si>
  <si>
    <t>Мероприятия по пропаганде здорового образа жизни</t>
  </si>
  <si>
    <t>2990120420</t>
  </si>
  <si>
    <t>Другие вопросы в области образования</t>
  </si>
  <si>
    <t xml:space="preserve">Организация и обеспечение оздоровления и отдыха детей </t>
  </si>
  <si>
    <t>0230220320</t>
  </si>
  <si>
    <t>Обеспечение оздоровления и отдыха детей Приморского края (за исключением организации отдыха детей в каникулярное время)</t>
  </si>
  <si>
    <t>0230293080</t>
  </si>
  <si>
    <t>Мероприятия по организации временного трудоустройства несовершеннолетних граждан в свободное от учебы время и в период летних каникул</t>
  </si>
  <si>
    <t>0230380170</t>
  </si>
  <si>
    <t xml:space="preserve">Мероприятия муниципальной программы "Развитие образования Партизанского муниципального округа" на 2022-2027 годы </t>
  </si>
  <si>
    <t>0290000000</t>
  </si>
  <si>
    <t>0290140000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</si>
  <si>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</si>
  <si>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0290145200</t>
  </si>
  <si>
    <t>0290170060</t>
  </si>
  <si>
    <t>Подпрограмма "Организация трудоустройства детей и подростков в учреждениях культуры Партизанского муниципального округа Приморского края"</t>
  </si>
  <si>
    <t>0330000000</t>
  </si>
  <si>
    <t>0330180170</t>
  </si>
  <si>
    <t>Иные выплаты населению</t>
  </si>
  <si>
    <t>360</t>
  </si>
  <si>
    <t>КУЛЬТУРА, КИНЕМАТОГРАФИЯ</t>
  </si>
  <si>
    <t>Культура</t>
  </si>
  <si>
    <t xml:space="preserve">Подпрограмма "Развитие учреждений культуры Партизанского муниципального округа Приморского края" </t>
  </si>
  <si>
    <t>0320000000</t>
  </si>
  <si>
    <t>0320140000</t>
  </si>
  <si>
    <t xml:space="preserve">Дворцы и дома культуры, другие учреждения культуры </t>
  </si>
  <si>
    <t>0320144000</t>
  </si>
  <si>
    <t>Музеи</t>
  </si>
  <si>
    <t>0320144100</t>
  </si>
  <si>
    <t>Библиотеки</t>
  </si>
  <si>
    <t>0320144200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</si>
  <si>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</si>
  <si>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03201L4670</t>
  </si>
  <si>
    <t>Комплектование книжных фондов и обеспечение информационно-техническим оборудованием библиотек</t>
  </si>
  <si>
    <t>03201S2540</t>
  </si>
  <si>
    <t>03201S2752</t>
  </si>
  <si>
    <t>Другие вопросы в области культуры, кинематографии</t>
  </si>
  <si>
    <t>0390140000</t>
  </si>
  <si>
    <t>0390145200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</si>
  <si>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</si>
  <si>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</si>
  <si>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</si>
  <si>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0590280060</t>
  </si>
  <si>
    <t>Публичные нормативные социальные выплаты гражданам</t>
  </si>
  <si>
    <t>310</t>
  </si>
  <si>
    <t>Социальное обеспечение населения</t>
  </si>
  <si>
    <t xml:space="preserve">Подпрограмма «Развитие и поддержка педагогических кадров» </t>
  </si>
  <si>
    <t>0260000000</t>
  </si>
  <si>
    <t>Меры социальной поддержки педагогических работников муниципальных образовательных организаций Приморского края</t>
  </si>
  <si>
    <t>026E193140</t>
  </si>
  <si>
    <t>Предоставление денежной выплаты гражданам, пострадавшим в результате чрезвычайной ситуации</t>
  </si>
  <si>
    <t>0690280070</t>
  </si>
  <si>
    <t>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</si>
  <si>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1890993190</t>
  </si>
  <si>
    <t>Единовременная материальная помощь членам семей военнослужащих, погибших в результате участия в специальной военной операции</t>
  </si>
  <si>
    <t>9999920480</t>
  </si>
  <si>
    <t>Охрана семьи и детства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</si>
  <si>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</si>
  <si>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0290293090</t>
  </si>
  <si>
    <t>Муниципальная программа "Обеспечение жильем молодых семей Партизанского муниципального округа" на 2021-2026 годы</t>
  </si>
  <si>
    <t>1900000000</t>
  </si>
  <si>
    <t>Мероприятия муниципальной программы "Обеспечение жильем молодых семей Партизанского муниципального округа" на 2021-2026 годы</t>
  </si>
  <si>
    <t>1990000000</t>
  </si>
  <si>
    <t>Реализация мероприятий по обеспечению жильем молодых семей за счет средств бюджетов</t>
  </si>
  <si>
    <t>19901L4970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</si>
  <si>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</si>
  <si>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30901R0820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</si>
  <si>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</si>
  <si>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</si>
  <si>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Другие вопросы в области социальной политики</t>
  </si>
  <si>
    <t>Субсидии общественной организации ветеранов войны, труда, Вооруженных Сил и правоохранительных органов</t>
  </si>
  <si>
    <t>0590160090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</si>
  <si>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</si>
  <si>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</si>
  <si>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"Доступная среда" Партизанского муниципального округа Приморского края на 2022-2024 годы</t>
  </si>
  <si>
    <t>1300000000</t>
  </si>
  <si>
    <t>Мероприятия муниципальной программы "Доступная среда" Партизанского муниципального округа Приморского края на 2022-2024 годы</t>
  </si>
  <si>
    <t>1390000000</t>
  </si>
  <si>
    <t xml:space="preserve">Проведение социально-значимых мероприятий для инвалидов </t>
  </si>
  <si>
    <t>1390120260</t>
  </si>
  <si>
    <t>Субсидии социально-ориентированной некоммерческой организации "Общество инвалидов Партизанского муниципального округа Приморской краевой организации общероссийской общественной организации "Всероссийское общество инвалидов"</t>
  </si>
  <si>
    <t>1390260010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</si>
  <si>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</si>
  <si>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</si>
  <si>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на территории Партизанского муниципального округа" на 2021-2026 годы</t>
  </si>
  <si>
    <t>1400000000</t>
  </si>
  <si>
    <t>Мероприятия муниципальной программы  "Развитие физической культуры и спорта на территории Партизанского муниципального округа" на 2021-2026 годы</t>
  </si>
  <si>
    <t>1490000000</t>
  </si>
  <si>
    <t>Организация, проведение и участие в спортивных мероприятиях</t>
  </si>
  <si>
    <t>1490120070</t>
  </si>
  <si>
    <t>Массовый спорт</t>
  </si>
  <si>
    <t>Организация физкультурно-спортивной работы по месту жительства</t>
  </si>
  <si>
    <t>14901S2190</t>
  </si>
  <si>
    <t>Приобретение и поставка спортивного инвентаря, спортивного оборудования и иного имущества для развития массового спорта</t>
  </si>
  <si>
    <t>14901S2230</t>
  </si>
  <si>
    <t>Развитие спортивной инфраструктуры, находящейся в муниципальной собственности</t>
  </si>
  <si>
    <t>14901S2680</t>
  </si>
  <si>
    <t>СРЕДСТВА МАССОВОЙ ИНФОРМАЦИИ</t>
  </si>
  <si>
    <t>Периодическая печать и издательство</t>
  </si>
  <si>
    <t>Мероприятия в сфере средств массовой информации</t>
  </si>
  <si>
    <t>0790160080</t>
  </si>
  <si>
    <t>Субсидии автономным учреждениям</t>
  </si>
  <si>
    <t>620</t>
  </si>
  <si>
    <t>ВСЕГО РАСХОДОВ:</t>
  </si>
  <si>
    <t>Приложение 4</t>
  </si>
  <si>
    <t>Партизанского муниципального округа</t>
  </si>
  <si>
    <t>Показатели</t>
  </si>
  <si>
    <t>(в рублях)</t>
  </si>
  <si>
    <t>Под-раз-дел</t>
  </si>
  <si>
    <t xml:space="preserve">расходов бюджета Партизанского муниципального округа за 2024 год по разделам, подразделам, целевым статьям и видам расходов классификациии расходов бюджетов </t>
  </si>
  <si>
    <t>Уточненный бюджет                                2024 года</t>
  </si>
  <si>
    <t>Кассовое       исполнение за 2024 год</t>
  </si>
  <si>
    <t>Процент исполнения к уточнен-ному бюджету 2024 года</t>
  </si>
  <si>
    <t>к муниципальному правовому акту</t>
  </si>
  <si>
    <t>Приморского края</t>
  </si>
  <si>
    <t xml:space="preserve">от 22.05.2025 № 317-МПА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</si>
</sst>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"/>
  </numFmts>
  <fonts count="35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color rgb="FF000000"/>
      <name val="Arial Cyr"/>
      <charset val="1"/>
    </font>
    <font>
      <b/>
      <sz val="10"/>
      <color rgb="FF000000"/>
      <name val="Arial CYR"/>
      <charset val="1"/>
    </font>
    <font>
      <sz val="10"/>
      <name val="Arial Cyr"/>
      <charset val="1"/>
    </font>
    <font>
      <sz val="11"/>
      <color rgb="FF3333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333399"/>
      <name val="Calibri"/>
      <family val="2"/>
      <charset val="204"/>
    </font>
    <font>
      <b/>
      <sz val="13"/>
      <color rgb="FF333399"/>
      <name val="Calibri"/>
      <family val="2"/>
      <charset val="204"/>
    </font>
    <font>
      <b/>
      <sz val="11"/>
      <color rgb="FF33339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333399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1"/>
    </font>
    <font>
      <sz val="13"/>
      <color rgb="FF00000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sz val="10"/>
      <color rgb="FF000000"/>
      <name val="Arial CY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EBF1DE"/>
      </patternFill>
    </fill>
    <fill>
      <patternFill patternType="solid">
        <fgColor rgb="FFCCFFFF"/>
        <bgColor rgb="FFCCFFCC"/>
      </patternFill>
    </fill>
    <fill>
      <patternFill patternType="solid">
        <fgColor rgb="FF333333"/>
        <bgColor rgb="FF333300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B7DEE8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B7DEE8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FFFFCC"/>
      </patternFill>
    </fill>
    <fill>
      <patternFill patternType="solid">
        <fgColor rgb="FFCC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1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3" borderId="0" applyBorder="0" applyProtection="0"/>
    <xf numFmtId="0" fontId="1" fillId="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3" borderId="0" applyBorder="0" applyProtection="0"/>
    <xf numFmtId="0" fontId="2" fillId="3" borderId="0" applyBorder="0" applyProtection="0"/>
    <xf numFmtId="1" fontId="3" fillId="0" borderId="1">
      <alignment horizontal="center" vertical="top" shrinkToFit="1"/>
    </xf>
    <xf numFmtId="0" fontId="4" fillId="0" borderId="1">
      <alignment vertical="top" wrapText="1"/>
    </xf>
    <xf numFmtId="0" fontId="5" fillId="2" borderId="1">
      <alignment horizontal="left" vertical="top" wrapText="1"/>
    </xf>
    <xf numFmtId="0" fontId="4" fillId="0" borderId="1">
      <alignment vertical="top" wrapText="1"/>
    </xf>
    <xf numFmtId="0" fontId="2" fillId="10" borderId="0" applyBorder="0" applyProtection="0"/>
    <xf numFmtId="0" fontId="2" fillId="10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5" borderId="0" applyBorder="0" applyProtection="0"/>
    <xf numFmtId="0" fontId="2" fillId="15" borderId="0" applyBorder="0" applyProtection="0"/>
    <xf numFmtId="0" fontId="6" fillId="3" borderId="2" applyProtection="0"/>
    <xf numFmtId="0" fontId="6" fillId="3" borderId="2" applyProtection="0"/>
    <xf numFmtId="0" fontId="7" fillId="2" borderId="1" applyProtection="0"/>
    <xf numFmtId="0" fontId="7" fillId="2" borderId="1" applyProtection="0"/>
    <xf numFmtId="0" fontId="8" fillId="2" borderId="2" applyProtection="0"/>
    <xf numFmtId="0" fontId="8" fillId="2" borderId="2" applyProtection="0"/>
    <xf numFmtId="0" fontId="9" fillId="0" borderId="3" applyProtection="0"/>
    <xf numFmtId="0" fontId="9" fillId="0" borderId="3" applyProtection="0"/>
    <xf numFmtId="0" fontId="10" fillId="0" borderId="4" applyProtection="0"/>
    <xf numFmtId="0" fontId="10" fillId="0" borderId="4" applyProtection="0"/>
    <xf numFmtId="0" fontId="11" fillId="0" borderId="5" applyProtection="0"/>
    <xf numFmtId="0" fontId="11" fillId="0" borderId="5" applyProtection="0"/>
    <xf numFmtId="0" fontId="11" fillId="0" borderId="0" applyBorder="0" applyProtection="0"/>
    <xf numFmtId="0" fontId="11" fillId="0" borderId="0" applyBorder="0" applyProtection="0"/>
    <xf numFmtId="0" fontId="7" fillId="0" borderId="6" applyProtection="0"/>
    <xf numFmtId="0" fontId="7" fillId="0" borderId="6" applyProtection="0"/>
    <xf numFmtId="0" fontId="12" fillId="16" borderId="7" applyProtection="0"/>
    <xf numFmtId="0" fontId="12" fillId="16" borderId="7" applyProtection="0"/>
    <xf numFmtId="0" fontId="13" fillId="0" borderId="0" applyBorder="0" applyProtection="0"/>
    <xf numFmtId="0" fontId="13" fillId="0" borderId="0" applyBorder="0" applyProtection="0"/>
    <xf numFmtId="0" fontId="14" fillId="8" borderId="0" applyBorder="0" applyProtection="0"/>
    <xf numFmtId="0" fontId="14" fillId="8" borderId="0" applyBorder="0" applyProtection="0"/>
    <xf numFmtId="0" fontId="15" fillId="0" borderId="0"/>
    <xf numFmtId="0" fontId="16" fillId="0" borderId="0">
      <alignment vertical="top" wrapText="1"/>
    </xf>
    <xf numFmtId="0" fontId="16" fillId="0" borderId="0">
      <alignment vertical="top" wrapText="1"/>
    </xf>
    <xf numFmtId="0" fontId="17" fillId="17" borderId="0" applyBorder="0" applyProtection="0"/>
    <xf numFmtId="0" fontId="17" fillId="17" borderId="0" applyBorder="0" applyProtection="0"/>
    <xf numFmtId="0" fontId="18" fillId="0" borderId="0" applyBorder="0" applyProtection="0"/>
    <xf numFmtId="0" fontId="18" fillId="0" borderId="0" applyBorder="0" applyProtection="0"/>
    <xf numFmtId="0" fontId="29" fillId="4" borderId="8" applyProtection="0"/>
    <xf numFmtId="0" fontId="29" fillId="4" borderId="8" applyProtection="0"/>
    <xf numFmtId="0" fontId="19" fillId="0" borderId="9" applyProtection="0"/>
    <xf numFmtId="0" fontId="19" fillId="0" borderId="9" applyProtection="0"/>
    <xf numFmtId="0" fontId="20" fillId="0" borderId="0" applyBorder="0" applyProtection="0"/>
    <xf numFmtId="0" fontId="20" fillId="0" borderId="0" applyBorder="0" applyProtection="0"/>
    <xf numFmtId="0" fontId="21" fillId="18" borderId="0" applyBorder="0" applyProtection="0"/>
    <xf numFmtId="0" fontId="21" fillId="18" borderId="0" applyBorder="0" applyProtection="0"/>
    <xf numFmtId="4" fontId="34" fillId="22" borderId="12">
      <alignment horizontal="right" vertical="top" shrinkToFit="1"/>
    </xf>
  </cellStyleXfs>
  <cellXfs count="79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6" fillId="0" borderId="0" xfId="0" applyFont="1"/>
    <xf numFmtId="4" fontId="22" fillId="0" borderId="0" xfId="0" applyNumberFormat="1" applyFont="1" applyAlignment="1">
      <alignment horizontal="left" shrinkToFit="1"/>
    </xf>
    <xf numFmtId="4" fontId="22" fillId="0" borderId="0" xfId="0" applyNumberFormat="1" applyFont="1"/>
    <xf numFmtId="0" fontId="25" fillId="19" borderId="1" xfId="0" applyFont="1" applyFill="1" applyBorder="1" applyAlignment="1">
      <alignment vertical="top" wrapText="1"/>
    </xf>
    <xf numFmtId="49" fontId="25" fillId="19" borderId="1" xfId="0" applyNumberFormat="1" applyFont="1" applyFill="1" applyBorder="1" applyAlignment="1">
      <alignment horizontal="center" vertical="top" shrinkToFit="1"/>
    </xf>
    <xf numFmtId="4" fontId="25" fillId="19" borderId="1" xfId="0" applyNumberFormat="1" applyFont="1" applyFill="1" applyBorder="1" applyAlignment="1">
      <alignment horizontal="right" vertical="top" shrinkToFit="1"/>
    </xf>
    <xf numFmtId="0" fontId="24" fillId="19" borderId="1" xfId="0" applyFont="1" applyFill="1" applyBorder="1" applyAlignment="1">
      <alignment vertical="top" wrapText="1"/>
    </xf>
    <xf numFmtId="49" fontId="24" fillId="19" borderId="1" xfId="0" applyNumberFormat="1" applyFont="1" applyFill="1" applyBorder="1" applyAlignment="1">
      <alignment horizontal="center" vertical="top" shrinkToFit="1"/>
    </xf>
    <xf numFmtId="4" fontId="24" fillId="19" borderId="1" xfId="0" applyNumberFormat="1" applyFont="1" applyFill="1" applyBorder="1" applyAlignment="1">
      <alignment horizontal="right" vertical="top" shrinkToFit="1"/>
    </xf>
    <xf numFmtId="0" fontId="24" fillId="20" borderId="1" xfId="0" applyFont="1" applyFill="1" applyBorder="1" applyAlignment="1">
      <alignment vertical="top" wrapText="1"/>
    </xf>
    <xf numFmtId="49" fontId="24" fillId="20" borderId="1" xfId="0" applyNumberFormat="1" applyFont="1" applyFill="1" applyBorder="1" applyAlignment="1">
      <alignment horizontal="center" vertical="top" shrinkToFit="1"/>
    </xf>
    <xf numFmtId="4" fontId="24" fillId="20" borderId="1" xfId="0" applyNumberFormat="1" applyFont="1" applyFill="1" applyBorder="1" applyAlignment="1">
      <alignment horizontal="right" vertical="top" shrinkToFit="1"/>
    </xf>
    <xf numFmtId="0" fontId="24" fillId="19" borderId="1" xfId="0" applyFont="1" applyFill="1" applyBorder="1" applyAlignment="1">
      <alignment vertical="top" wrapText="1" shrinkToFit="1"/>
    </xf>
    <xf numFmtId="4" fontId="24" fillId="20" borderId="1" xfId="0" applyNumberFormat="1" applyFont="1" applyFill="1" applyBorder="1" applyAlignment="1">
      <alignment vertical="top" shrinkToFit="1"/>
    </xf>
    <xf numFmtId="4" fontId="24" fillId="19" borderId="1" xfId="0" applyNumberFormat="1" applyFont="1" applyFill="1" applyBorder="1" applyAlignment="1">
      <alignment vertical="top" shrinkToFit="1"/>
    </xf>
    <xf numFmtId="0" fontId="24" fillId="19" borderId="1" xfId="0" applyFont="1" applyFill="1" applyBorder="1" applyAlignment="1" applyProtection="1">
      <alignment vertical="top" wrapText="1"/>
    </xf>
    <xf numFmtId="4" fontId="24" fillId="19" borderId="1" xfId="0" applyNumberFormat="1" applyFont="1" applyFill="1" applyBorder="1" applyAlignment="1">
      <alignment vertical="top"/>
    </xf>
    <xf numFmtId="4" fontId="24" fillId="20" borderId="1" xfId="0" applyNumberFormat="1" applyFont="1" applyFill="1" applyBorder="1" applyAlignment="1">
      <alignment vertical="top"/>
    </xf>
    <xf numFmtId="0" fontId="24" fillId="19" borderId="1" xfId="0" applyFont="1" applyFill="1" applyBorder="1" applyAlignment="1">
      <alignment horizontal="justify" vertical="top" wrapText="1"/>
    </xf>
    <xf numFmtId="0" fontId="24" fillId="19" borderId="1" xfId="75" applyFont="1" applyFill="1" applyBorder="1" applyAlignment="1">
      <alignment vertical="top" wrapText="1"/>
    </xf>
    <xf numFmtId="4" fontId="24" fillId="21" borderId="1" xfId="0" applyNumberFormat="1" applyFont="1" applyFill="1" applyBorder="1" applyAlignment="1">
      <alignment horizontal="right" vertical="top" shrinkToFit="1"/>
    </xf>
    <xf numFmtId="0" fontId="24" fillId="19" borderId="1" xfId="0" applyFont="1" applyFill="1" applyBorder="1" applyAlignment="1">
      <alignment wrapText="1"/>
    </xf>
    <xf numFmtId="0" fontId="22" fillId="19" borderId="1" xfId="0" applyFont="1" applyFill="1" applyBorder="1" applyAlignment="1">
      <alignment horizontal="justify" vertical="top" wrapText="1"/>
    </xf>
    <xf numFmtId="49" fontId="24" fillId="19" borderId="1" xfId="0" applyNumberFormat="1" applyFont="1" applyFill="1" applyBorder="1" applyAlignment="1">
      <alignment horizontal="center" vertical="top" wrapText="1" shrinkToFit="1"/>
    </xf>
    <xf numFmtId="0" fontId="24" fillId="19" borderId="0" xfId="0" applyFont="1" applyFill="1"/>
    <xf numFmtId="0" fontId="22" fillId="19" borderId="1" xfId="0" applyFont="1" applyFill="1" applyBorder="1" applyAlignment="1">
      <alignment vertical="top" wrapText="1"/>
    </xf>
    <xf numFmtId="49" fontId="22" fillId="19" borderId="1" xfId="0" applyNumberFormat="1" applyFont="1" applyFill="1" applyBorder="1" applyAlignment="1">
      <alignment horizontal="center" vertical="top" shrinkToFit="1"/>
    </xf>
    <xf numFmtId="49" fontId="22" fillId="19" borderId="1" xfId="0" applyNumberFormat="1" applyFont="1" applyFill="1" applyBorder="1" applyAlignment="1">
      <alignment horizontal="center" vertical="top" wrapText="1" shrinkToFit="1"/>
    </xf>
    <xf numFmtId="4" fontId="22" fillId="19" borderId="1" xfId="0" applyNumberFormat="1" applyFont="1" applyFill="1" applyBorder="1" applyAlignment="1">
      <alignment horizontal="right" vertical="top" shrinkToFit="1"/>
    </xf>
    <xf numFmtId="0" fontId="22" fillId="20" borderId="1" xfId="0" applyFont="1" applyFill="1" applyBorder="1" applyAlignment="1">
      <alignment vertical="top" wrapText="1"/>
    </xf>
    <xf numFmtId="49" fontId="22" fillId="20" borderId="1" xfId="0" applyNumberFormat="1" applyFont="1" applyFill="1" applyBorder="1" applyAlignment="1">
      <alignment horizontal="center" vertical="top" shrinkToFit="1"/>
    </xf>
    <xf numFmtId="49" fontId="22" fillId="20" borderId="1" xfId="0" applyNumberFormat="1" applyFont="1" applyFill="1" applyBorder="1" applyAlignment="1">
      <alignment horizontal="center" vertical="top" wrapText="1" shrinkToFit="1"/>
    </xf>
    <xf numFmtId="4" fontId="22" fillId="20" borderId="1" xfId="0" applyNumberFormat="1" applyFont="1" applyFill="1" applyBorder="1" applyAlignment="1">
      <alignment horizontal="right" vertical="top" shrinkToFit="1"/>
    </xf>
    <xf numFmtId="0" fontId="24" fillId="19" borderId="1" xfId="0" applyFont="1" applyFill="1" applyBorder="1" applyAlignment="1">
      <alignment horizontal="left" vertical="top" wrapText="1"/>
    </xf>
    <xf numFmtId="0" fontId="26" fillId="19" borderId="1" xfId="0" applyFont="1" applyFill="1" applyBorder="1" applyAlignment="1">
      <alignment vertical="top" wrapText="1"/>
    </xf>
    <xf numFmtId="0" fontId="27" fillId="19" borderId="1" xfId="0" applyFont="1" applyFill="1" applyBorder="1" applyAlignment="1">
      <alignment vertical="top" wrapText="1"/>
    </xf>
    <xf numFmtId="0" fontId="22" fillId="19" borderId="11" xfId="0" applyFont="1" applyFill="1" applyBorder="1" applyAlignment="1">
      <alignment vertical="top" wrapText="1"/>
    </xf>
    <xf numFmtId="0" fontId="24" fillId="19" borderId="1" xfId="0" applyFont="1" applyFill="1" applyBorder="1" applyAlignment="1">
      <alignment vertical="center" wrapText="1"/>
    </xf>
    <xf numFmtId="0" fontId="22" fillId="19" borderId="1" xfId="39" applyFont="1" applyFill="1" applyBorder="1" applyAlignment="1" applyProtection="1">
      <alignment horizontal="left" vertical="top" wrapText="1"/>
    </xf>
    <xf numFmtId="0" fontId="24" fillId="19" borderId="11" xfId="0" applyFont="1" applyFill="1" applyBorder="1" applyAlignment="1">
      <alignment vertical="top" wrapText="1"/>
    </xf>
    <xf numFmtId="0" fontId="24" fillId="20" borderId="1" xfId="0" applyFont="1" applyFill="1" applyBorder="1" applyAlignment="1">
      <alignment vertical="center" wrapText="1"/>
    </xf>
    <xf numFmtId="49" fontId="23" fillId="19" borderId="1" xfId="0" applyNumberFormat="1" applyFont="1" applyFill="1" applyBorder="1" applyAlignment="1">
      <alignment horizontal="center" vertical="top" shrinkToFit="1"/>
    </xf>
    <xf numFmtId="0" fontId="24" fillId="19" borderId="1" xfId="0" applyFont="1" applyFill="1" applyBorder="1"/>
    <xf numFmtId="0" fontId="28" fillId="19" borderId="1" xfId="0" applyFont="1" applyFill="1" applyBorder="1" applyAlignment="1">
      <alignment vertical="top" wrapText="1"/>
    </xf>
    <xf numFmtId="0" fontId="22" fillId="19" borderId="1" xfId="0" applyFont="1" applyFill="1" applyBorder="1" applyAlignment="1">
      <alignment horizontal="left" wrapText="1"/>
    </xf>
    <xf numFmtId="0" fontId="25" fillId="19" borderId="1" xfId="0" applyFont="1" applyFill="1" applyBorder="1" applyAlignment="1">
      <alignment horizontal="left" vertical="top" wrapText="1"/>
    </xf>
    <xf numFmtId="0" fontId="24" fillId="19" borderId="1" xfId="0" applyFont="1" applyFill="1" applyBorder="1" applyAlignment="1">
      <alignment horizontal="left" vertical="center" wrapText="1"/>
    </xf>
    <xf numFmtId="49" fontId="24" fillId="19" borderId="1" xfId="0" applyNumberFormat="1" applyFont="1" applyFill="1" applyBorder="1" applyAlignment="1">
      <alignment horizontal="center" vertical="top" wrapText="1"/>
    </xf>
    <xf numFmtId="0" fontId="22" fillId="19" borderId="1" xfId="0" applyFont="1" applyFill="1" applyBorder="1" applyAlignment="1" applyProtection="1">
      <alignment vertical="top" wrapText="1"/>
    </xf>
    <xf numFmtId="4" fontId="22" fillId="19" borderId="1" xfId="0" applyNumberFormat="1" applyFont="1" applyFill="1" applyBorder="1" applyAlignment="1">
      <alignment vertical="top" shrinkToFit="1"/>
    </xf>
    <xf numFmtId="49" fontId="22" fillId="19" borderId="1" xfId="0" applyNumberFormat="1" applyFont="1" applyFill="1" applyBorder="1" applyAlignment="1">
      <alignment horizontal="center" vertical="top" wrapText="1"/>
    </xf>
    <xf numFmtId="0" fontId="23" fillId="19" borderId="1" xfId="0" applyFont="1" applyFill="1" applyBorder="1" applyAlignment="1">
      <alignment vertical="top" wrapText="1"/>
    </xf>
    <xf numFmtId="49" fontId="22" fillId="20" borderId="1" xfId="0" applyNumberFormat="1" applyFont="1" applyFill="1" applyBorder="1" applyAlignment="1">
      <alignment horizontal="center" vertical="top" wrapText="1"/>
    </xf>
    <xf numFmtId="4" fontId="22" fillId="20" borderId="1" xfId="0" applyNumberFormat="1" applyFont="1" applyFill="1" applyBorder="1" applyAlignment="1">
      <alignment vertical="top" shrinkToFit="1"/>
    </xf>
    <xf numFmtId="1" fontId="24" fillId="19" borderId="1" xfId="37" applyFont="1" applyFill="1" applyBorder="1" applyAlignment="1" applyProtection="1">
      <alignment horizontal="center" vertical="top" shrinkToFit="1"/>
    </xf>
    <xf numFmtId="4" fontId="25" fillId="19" borderId="1" xfId="0" applyNumberFormat="1" applyFont="1" applyFill="1" applyBorder="1" applyAlignment="1">
      <alignment horizontal="right" shrinkToFit="1"/>
    </xf>
    <xf numFmtId="0" fontId="30" fillId="0" borderId="0" xfId="0" applyFont="1" applyFill="1"/>
    <xf numFmtId="0" fontId="31" fillId="0" borderId="0" xfId="0" applyFont="1" applyFill="1" applyAlignment="1"/>
    <xf numFmtId="0" fontId="30" fillId="0" borderId="0" xfId="0" applyFont="1" applyFill="1" applyAlignment="1"/>
    <xf numFmtId="164" fontId="30" fillId="0" borderId="0" xfId="0" applyNumberFormat="1" applyFont="1" applyFill="1"/>
    <xf numFmtId="0" fontId="30" fillId="0" borderId="10" xfId="0" applyFont="1" applyFill="1" applyBorder="1" applyAlignment="1"/>
    <xf numFmtId="164" fontId="30" fillId="0" borderId="10" xfId="0" applyNumberFormat="1" applyFont="1" applyFill="1" applyBorder="1" applyAlignment="1">
      <alignment horizontal="center"/>
    </xf>
    <xf numFmtId="0" fontId="30" fillId="0" borderId="0" xfId="0" applyFont="1" applyAlignment="1">
      <alignment horizontal="right"/>
    </xf>
    <xf numFmtId="0" fontId="30" fillId="19" borderId="1" xfId="0" applyFont="1" applyFill="1" applyBorder="1" applyAlignment="1">
      <alignment horizontal="center" vertical="center" wrapText="1"/>
    </xf>
    <xf numFmtId="164" fontId="30" fillId="19" borderId="1" xfId="0" applyNumberFormat="1" applyFont="1" applyFill="1" applyBorder="1" applyAlignment="1">
      <alignment horizontal="center" vertical="center" wrapText="1"/>
    </xf>
    <xf numFmtId="3" fontId="30" fillId="19" borderId="1" xfId="0" applyNumberFormat="1" applyFont="1" applyFill="1" applyBorder="1" applyAlignment="1">
      <alignment horizontal="center" vertical="center" wrapText="1"/>
    </xf>
    <xf numFmtId="0" fontId="30" fillId="19" borderId="1" xfId="0" applyFont="1" applyFill="1" applyBorder="1" applyAlignment="1">
      <alignment horizontal="center"/>
    </xf>
    <xf numFmtId="165" fontId="25" fillId="19" borderId="1" xfId="0" applyNumberFormat="1" applyFont="1" applyFill="1" applyBorder="1" applyAlignment="1">
      <alignment horizontal="right" vertical="top" shrinkToFit="1"/>
    </xf>
    <xf numFmtId="165" fontId="24" fillId="19" borderId="1" xfId="0" applyNumberFormat="1" applyFont="1" applyFill="1" applyBorder="1" applyAlignment="1">
      <alignment horizontal="right" vertical="top" shrinkToFit="1"/>
    </xf>
    <xf numFmtId="4" fontId="24" fillId="19" borderId="12" xfId="90" applyNumberFormat="1" applyFont="1" applyFill="1" applyProtection="1">
      <alignment horizontal="right" vertical="top" shrinkToFit="1"/>
    </xf>
    <xf numFmtId="165" fontId="25" fillId="19" borderId="1" xfId="0" applyNumberFormat="1" applyFont="1" applyFill="1" applyBorder="1" applyAlignment="1">
      <alignment horizontal="right" shrinkToFit="1"/>
    </xf>
    <xf numFmtId="0" fontId="32" fillId="0" borderId="0" xfId="0" applyFont="1" applyFill="1" applyAlignment="1">
      <alignment horizontal="center" wrapText="1"/>
    </xf>
    <xf numFmtId="0" fontId="33" fillId="0" borderId="0" xfId="0" applyFont="1" applyAlignment="1">
      <alignment wrapText="1"/>
    </xf>
    <xf numFmtId="0" fontId="32" fillId="0" borderId="0" xfId="0" applyFont="1" applyFill="1" applyAlignment="1">
      <alignment horizontal="center" vertical="top" wrapText="1"/>
    </xf>
    <xf numFmtId="0" fontId="30" fillId="0" borderId="0" xfId="0" applyFont="1" applyFill="1" applyAlignment="1">
      <alignment horizontal="center" wrapText="1"/>
    </xf>
    <xf numFmtId="0" fontId="25" fillId="19" borderId="1" xfId="0" applyFont="1" applyFill="1" applyBorder="1" applyAlignment="1">
      <alignment horizontal="left"/>
    </xf>
  </cellXfs>
  <cellStyles count="91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xl26" xfId="37"/>
    <cellStyle name="xl33" xfId="38"/>
    <cellStyle name="xl34" xfId="39"/>
    <cellStyle name="xl37" xfId="40"/>
    <cellStyle name="xl38" xfId="90"/>
    <cellStyle name="Акцент1 2" xfId="41"/>
    <cellStyle name="Акцент1 3" xfId="42"/>
    <cellStyle name="Акцент2 2" xfId="43"/>
    <cellStyle name="Акцент2 3" xfId="44"/>
    <cellStyle name="Акцент3 2" xfId="45"/>
    <cellStyle name="Акцент3 3" xfId="46"/>
    <cellStyle name="Акцент4 2" xfId="47"/>
    <cellStyle name="Акцент4 3" xfId="48"/>
    <cellStyle name="Акцент5 2" xfId="49"/>
    <cellStyle name="Акцент5 3" xfId="50"/>
    <cellStyle name="Акцент6 2" xfId="51"/>
    <cellStyle name="Акцент6 3" xfId="52"/>
    <cellStyle name="Ввод  2" xfId="53"/>
    <cellStyle name="Ввод  3" xfId="54"/>
    <cellStyle name="Вывод 2" xfId="55"/>
    <cellStyle name="Вывод 3" xfId="56"/>
    <cellStyle name="Вычисление 2" xfId="57"/>
    <cellStyle name="Вычисление 3" xfId="58"/>
    <cellStyle name="Заголовок 1 2" xfId="59"/>
    <cellStyle name="Заголовок 1 3" xfId="60"/>
    <cellStyle name="Заголовок 2 2" xfId="61"/>
    <cellStyle name="Заголовок 2 3" xfId="62"/>
    <cellStyle name="Заголовок 3 2" xfId="63"/>
    <cellStyle name="Заголовок 3 3" xfId="64"/>
    <cellStyle name="Заголовок 4 2" xfId="65"/>
    <cellStyle name="Заголовок 4 3" xfId="66"/>
    <cellStyle name="Итог 2" xfId="67"/>
    <cellStyle name="Итог 3" xfId="68"/>
    <cellStyle name="Контрольная ячейка 2" xfId="69"/>
    <cellStyle name="Контрольная ячейка 3" xfId="70"/>
    <cellStyle name="Название 2" xfId="71"/>
    <cellStyle name="Название 3" xfId="72"/>
    <cellStyle name="Нейтральный 2" xfId="73"/>
    <cellStyle name="Нейтральный 3" xfId="74"/>
    <cellStyle name="Обычный" xfId="0" builtinId="0"/>
    <cellStyle name="Обычный 2" xfId="75"/>
    <cellStyle name="Обычный 2 2" xfId="76"/>
    <cellStyle name="Обычный 2 3" xfId="77"/>
    <cellStyle name="Плохой 2" xfId="78"/>
    <cellStyle name="Плохой 3" xfId="79"/>
    <cellStyle name="Пояснение 2" xfId="80"/>
    <cellStyle name="Пояснение 3" xfId="81"/>
    <cellStyle name="Примечание 2" xfId="82"/>
    <cellStyle name="Примечание 3" xfId="83"/>
    <cellStyle name="Связанная ячейка 2" xfId="84"/>
    <cellStyle name="Связанная ячейка 3" xfId="85"/>
    <cellStyle name="Текст предупреждения 2" xfId="86"/>
    <cellStyle name="Текст предупреждения 3" xfId="87"/>
    <cellStyle name="Хороший 2" xfId="88"/>
    <cellStyle name="Хороший 3" xfId="89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BF1D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8"/>
  <sheetViews>
    <sheetView showGridLines="0" tabSelected="1" zoomScaleSheetLayoutView="100" workbookViewId="0">
      <selection activeCell="F5" sqref="F5"/>
    </sheetView>
  </sheetViews>
  <sheetFormatPr defaultColWidth="8.85546875" defaultRowHeight="15.75" outlineLevelRow="5"/>
  <cols>
    <col min="1" max="1" width="69" style="1" customWidth="1"/>
    <col min="2" max="2" width="7.140625" style="1" customWidth="1"/>
    <col min="3" max="3" width="8.140625" style="1" customWidth="1"/>
    <col min="4" max="4" width="14.42578125" style="1" customWidth="1"/>
    <col min="5" max="5" width="13.7109375" style="1" customWidth="1"/>
    <col min="6" max="6" width="16.85546875" style="2" customWidth="1"/>
    <col min="7" max="7" width="16.85546875" style="1" customWidth="1"/>
    <col min="8" max="8" width="12.85546875" style="1" customWidth="1"/>
    <col min="9" max="16384" width="8.85546875" style="1"/>
  </cols>
  <sheetData>
    <row r="1" spans="1:8">
      <c r="A1" s="59"/>
      <c r="B1" s="59"/>
      <c r="C1" s="59"/>
      <c r="D1" s="60"/>
      <c r="E1" s="60"/>
      <c r="F1" s="61" t="s">
        <v>522</v>
      </c>
      <c r="G1" s="59"/>
      <c r="H1" s="59"/>
    </row>
    <row r="2" spans="1:8">
      <c r="A2" s="59"/>
      <c r="B2" s="59"/>
      <c r="C2" s="59"/>
      <c r="D2" s="60"/>
      <c r="E2" s="60"/>
      <c r="F2" s="61" t="s">
        <v>531</v>
      </c>
      <c r="G2" s="59"/>
      <c r="H2" s="59"/>
    </row>
    <row r="3" spans="1:8">
      <c r="A3" s="59"/>
      <c r="B3" s="59"/>
      <c r="C3" s="59"/>
      <c r="D3" s="60"/>
      <c r="E3" s="60"/>
      <c r="F3" s="61" t="s">
        <v>523</v>
      </c>
      <c r="G3" s="59"/>
      <c r="H3" s="59"/>
    </row>
    <row r="4" spans="1:8">
      <c r="A4" s="59"/>
      <c r="B4" s="59"/>
      <c r="C4" s="59"/>
      <c r="D4" s="60"/>
      <c r="E4" s="60"/>
      <c r="F4" s="61" t="s">
        <v>532</v>
      </c>
      <c r="G4" s="59"/>
      <c r="H4" s="59"/>
    </row>
    <row r="5" spans="1:8">
      <c r="A5" s="59"/>
      <c r="B5" s="59"/>
      <c r="C5" s="59"/>
      <c r="D5" s="59"/>
      <c r="E5" s="59"/>
      <c r="F5" s="61" t="s">
        <v>533</v>
      </c>
      <c r="G5" s="59"/>
      <c r="H5" s="59"/>
    </row>
    <row r="6" spans="1:8">
      <c r="A6" s="59"/>
      <c r="B6" s="59"/>
      <c r="C6" s="59"/>
      <c r="D6" s="59"/>
      <c r="E6" s="59"/>
      <c r="F6" s="62"/>
      <c r="G6" s="59"/>
      <c r="H6" s="59"/>
    </row>
    <row r="7" spans="1:8" ht="18.75">
      <c r="A7" s="74" t="s">
        <v>524</v>
      </c>
      <c r="B7" s="74"/>
      <c r="C7" s="74"/>
      <c r="D7" s="74"/>
      <c r="E7" s="74"/>
      <c r="F7" s="74"/>
      <c r="G7" s="75"/>
      <c r="H7" s="75"/>
    </row>
    <row r="8" spans="1:8" ht="39" customHeight="1">
      <c r="A8" s="76" t="s">
        <v>527</v>
      </c>
      <c r="B8" s="76"/>
      <c r="C8" s="76"/>
      <c r="D8" s="76"/>
      <c r="E8" s="76"/>
      <c r="F8" s="76"/>
      <c r="G8" s="75"/>
      <c r="H8" s="75"/>
    </row>
    <row r="9" spans="1:8">
      <c r="A9" s="77"/>
      <c r="B9" s="77"/>
      <c r="C9" s="77"/>
      <c r="D9" s="77"/>
      <c r="E9" s="77"/>
      <c r="F9" s="77"/>
      <c r="G9" s="59"/>
      <c r="H9" s="59"/>
    </row>
    <row r="10" spans="1:8">
      <c r="A10" s="63"/>
      <c r="B10" s="63"/>
      <c r="C10" s="63"/>
      <c r="D10" s="63"/>
      <c r="E10" s="63"/>
      <c r="F10" s="64"/>
      <c r="G10" s="59"/>
      <c r="H10" s="65" t="s">
        <v>525</v>
      </c>
    </row>
    <row r="11" spans="1:8" ht="97.5" customHeight="1">
      <c r="A11" s="66" t="s">
        <v>0</v>
      </c>
      <c r="B11" s="66" t="s">
        <v>1</v>
      </c>
      <c r="C11" s="66" t="s">
        <v>526</v>
      </c>
      <c r="D11" s="66" t="s">
        <v>2</v>
      </c>
      <c r="E11" s="66" t="s">
        <v>3</v>
      </c>
      <c r="F11" s="67" t="s">
        <v>528</v>
      </c>
      <c r="G11" s="67" t="s">
        <v>529</v>
      </c>
      <c r="H11" s="66" t="s">
        <v>530</v>
      </c>
    </row>
    <row r="12" spans="1:8">
      <c r="A12" s="66">
        <v>1</v>
      </c>
      <c r="B12" s="66">
        <v>2</v>
      </c>
      <c r="C12" s="66">
        <v>3</v>
      </c>
      <c r="D12" s="66">
        <v>4</v>
      </c>
      <c r="E12" s="66">
        <v>5</v>
      </c>
      <c r="F12" s="68">
        <v>6</v>
      </c>
      <c r="G12" s="68">
        <v>7</v>
      </c>
      <c r="H12" s="69">
        <v>8</v>
      </c>
    </row>
    <row r="13" spans="1:8" s="3" customForma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8">
        <f>F14+F20+F36+F46+F52+F65+F71</f>
        <v>286039565</v>
      </c>
      <c r="G13" s="8">
        <f>G14+G20+G36+G46+G52+G65+G71</f>
        <v>276869869.88999999</v>
      </c>
      <c r="H13" s="70">
        <f>G13/F13*100</f>
        <v>96.794256378483851</v>
      </c>
    </row>
    <row r="14" spans="1:8" ht="31.5" outlineLevel="1">
      <c r="A14" s="9" t="s">
        <v>9</v>
      </c>
      <c r="B14" s="10" t="s">
        <v>5</v>
      </c>
      <c r="C14" s="10" t="s">
        <v>10</v>
      </c>
      <c r="D14" s="10" t="s">
        <v>7</v>
      </c>
      <c r="E14" s="10" t="s">
        <v>8</v>
      </c>
      <c r="F14" s="11">
        <f>F16</f>
        <v>4004153.82</v>
      </c>
      <c r="G14" s="11">
        <f>G16</f>
        <v>3946316.92</v>
      </c>
      <c r="H14" s="71">
        <f>G14/F14*100</f>
        <v>98.555577467800674</v>
      </c>
    </row>
    <row r="15" spans="1:8" ht="31.5" outlineLevel="1">
      <c r="A15" s="9" t="s">
        <v>11</v>
      </c>
      <c r="B15" s="10" t="s">
        <v>5</v>
      </c>
      <c r="C15" s="10" t="s">
        <v>10</v>
      </c>
      <c r="D15" s="10" t="s">
        <v>12</v>
      </c>
      <c r="E15" s="10" t="s">
        <v>8</v>
      </c>
      <c r="F15" s="11">
        <f t="shared" ref="F15:G18" si="0">F16</f>
        <v>4004153.82</v>
      </c>
      <c r="G15" s="11">
        <f t="shared" si="0"/>
        <v>3946316.92</v>
      </c>
      <c r="H15" s="71">
        <f t="shared" ref="H15:H78" si="1">G15/F15*100</f>
        <v>98.555577467800674</v>
      </c>
    </row>
    <row r="16" spans="1:8" ht="31.5" outlineLevel="2">
      <c r="A16" s="9" t="s">
        <v>13</v>
      </c>
      <c r="B16" s="10" t="s">
        <v>5</v>
      </c>
      <c r="C16" s="10" t="s">
        <v>10</v>
      </c>
      <c r="D16" s="10" t="s">
        <v>14</v>
      </c>
      <c r="E16" s="10" t="s">
        <v>8</v>
      </c>
      <c r="F16" s="11">
        <f t="shared" si="0"/>
        <v>4004153.82</v>
      </c>
      <c r="G16" s="11">
        <f t="shared" si="0"/>
        <v>3946316.92</v>
      </c>
      <c r="H16" s="71">
        <f t="shared" si="1"/>
        <v>98.555577467800674</v>
      </c>
    </row>
    <row r="17" spans="1:8" outlineLevel="3">
      <c r="A17" s="9" t="s">
        <v>15</v>
      </c>
      <c r="B17" s="10" t="s">
        <v>5</v>
      </c>
      <c r="C17" s="10" t="s">
        <v>10</v>
      </c>
      <c r="D17" s="10" t="s">
        <v>16</v>
      </c>
      <c r="E17" s="10" t="s">
        <v>8</v>
      </c>
      <c r="F17" s="11">
        <f t="shared" si="0"/>
        <v>4004153.82</v>
      </c>
      <c r="G17" s="11">
        <f t="shared" si="0"/>
        <v>3946316.92</v>
      </c>
      <c r="H17" s="71">
        <f t="shared" si="1"/>
        <v>98.555577467800674</v>
      </c>
    </row>
    <row r="18" spans="1:8" ht="63" outlineLevel="3">
      <c r="A18" s="9" t="s">
        <v>17</v>
      </c>
      <c r="B18" s="10" t="s">
        <v>5</v>
      </c>
      <c r="C18" s="10" t="s">
        <v>10</v>
      </c>
      <c r="D18" s="10" t="s">
        <v>16</v>
      </c>
      <c r="E18" s="10" t="s">
        <v>18</v>
      </c>
      <c r="F18" s="11">
        <f t="shared" si="0"/>
        <v>4004153.82</v>
      </c>
      <c r="G18" s="11">
        <f t="shared" si="0"/>
        <v>3946316.92</v>
      </c>
      <c r="H18" s="71">
        <f t="shared" si="1"/>
        <v>98.555577467800674</v>
      </c>
    </row>
    <row r="19" spans="1:8" ht="31.5" outlineLevel="5">
      <c r="A19" s="12" t="s">
        <v>19</v>
      </c>
      <c r="B19" s="13" t="s">
        <v>5</v>
      </c>
      <c r="C19" s="13" t="s">
        <v>10</v>
      </c>
      <c r="D19" s="13" t="s">
        <v>16</v>
      </c>
      <c r="E19" s="13" t="s">
        <v>20</v>
      </c>
      <c r="F19" s="14">
        <f>2767236+995672+241245.82</f>
        <v>4004153.82</v>
      </c>
      <c r="G19" s="72">
        <v>3946316.92</v>
      </c>
      <c r="H19" s="71">
        <f t="shared" si="1"/>
        <v>98.555577467800674</v>
      </c>
    </row>
    <row r="20" spans="1:8" ht="47.25" outlineLevel="1">
      <c r="A20" s="9" t="s">
        <v>21</v>
      </c>
      <c r="B20" s="10" t="s">
        <v>5</v>
      </c>
      <c r="C20" s="10" t="s">
        <v>22</v>
      </c>
      <c r="D20" s="10" t="s">
        <v>7</v>
      </c>
      <c r="E20" s="10" t="s">
        <v>8</v>
      </c>
      <c r="F20" s="11">
        <f t="shared" ref="F20:G21" si="2">F21</f>
        <v>8350699</v>
      </c>
      <c r="G20" s="11">
        <f t="shared" si="2"/>
        <v>8308246.71</v>
      </c>
      <c r="H20" s="71">
        <f t="shared" si="1"/>
        <v>99.491631898120147</v>
      </c>
    </row>
    <row r="21" spans="1:8" ht="31.5" outlineLevel="1">
      <c r="A21" s="9" t="s">
        <v>11</v>
      </c>
      <c r="B21" s="10" t="s">
        <v>5</v>
      </c>
      <c r="C21" s="10" t="s">
        <v>22</v>
      </c>
      <c r="D21" s="10" t="s">
        <v>12</v>
      </c>
      <c r="E21" s="10" t="s">
        <v>8</v>
      </c>
      <c r="F21" s="11">
        <f t="shared" si="2"/>
        <v>8350699</v>
      </c>
      <c r="G21" s="11">
        <f t="shared" si="2"/>
        <v>8308246.71</v>
      </c>
      <c r="H21" s="71">
        <f t="shared" si="1"/>
        <v>99.491631898120147</v>
      </c>
    </row>
    <row r="22" spans="1:8" ht="31.5" outlineLevel="2">
      <c r="A22" s="9" t="s">
        <v>13</v>
      </c>
      <c r="B22" s="10" t="s">
        <v>5</v>
      </c>
      <c r="C22" s="10" t="s">
        <v>22</v>
      </c>
      <c r="D22" s="10" t="s">
        <v>14</v>
      </c>
      <c r="E22" s="10" t="s">
        <v>8</v>
      </c>
      <c r="F22" s="11">
        <f>F23+F33</f>
        <v>8350699</v>
      </c>
      <c r="G22" s="11">
        <f>G23+G33</f>
        <v>8308246.71</v>
      </c>
      <c r="H22" s="71">
        <f t="shared" si="1"/>
        <v>99.491631898120147</v>
      </c>
    </row>
    <row r="23" spans="1:8" ht="47.25" outlineLevel="3">
      <c r="A23" s="15" t="s">
        <v>23</v>
      </c>
      <c r="B23" s="10" t="s">
        <v>5</v>
      </c>
      <c r="C23" s="10" t="s">
        <v>22</v>
      </c>
      <c r="D23" s="10" t="s">
        <v>24</v>
      </c>
      <c r="E23" s="10" t="s">
        <v>8</v>
      </c>
      <c r="F23" s="11">
        <f>F24+F26+F31+F28</f>
        <v>4987780</v>
      </c>
      <c r="G23" s="11">
        <f>G24+G26+G31+G28</f>
        <v>4945327.71</v>
      </c>
      <c r="H23" s="71">
        <f t="shared" si="1"/>
        <v>99.148874048173738</v>
      </c>
    </row>
    <row r="24" spans="1:8" ht="63" outlineLevel="3">
      <c r="A24" s="9" t="s">
        <v>17</v>
      </c>
      <c r="B24" s="10" t="s">
        <v>5</v>
      </c>
      <c r="C24" s="10" t="s">
        <v>22</v>
      </c>
      <c r="D24" s="10" t="s">
        <v>24</v>
      </c>
      <c r="E24" s="10" t="s">
        <v>18</v>
      </c>
      <c r="F24" s="11">
        <f>F25</f>
        <v>3798780</v>
      </c>
      <c r="G24" s="11">
        <f>G25</f>
        <v>3798780</v>
      </c>
      <c r="H24" s="71">
        <f t="shared" si="1"/>
        <v>100</v>
      </c>
    </row>
    <row r="25" spans="1:8" ht="31.5" outlineLevel="5">
      <c r="A25" s="9" t="s">
        <v>19</v>
      </c>
      <c r="B25" s="10" t="s">
        <v>5</v>
      </c>
      <c r="C25" s="10" t="s">
        <v>22</v>
      </c>
      <c r="D25" s="10" t="s">
        <v>24</v>
      </c>
      <c r="E25" s="10" t="s">
        <v>20</v>
      </c>
      <c r="F25" s="11">
        <f>4172000-373220</f>
        <v>3798780</v>
      </c>
      <c r="G25" s="11">
        <f>4172000-373220</f>
        <v>3798780</v>
      </c>
      <c r="H25" s="71">
        <f t="shared" si="1"/>
        <v>100</v>
      </c>
    </row>
    <row r="26" spans="1:8" ht="31.5" outlineLevel="5">
      <c r="A26" s="9" t="s">
        <v>25</v>
      </c>
      <c r="B26" s="10" t="s">
        <v>5</v>
      </c>
      <c r="C26" s="10" t="s">
        <v>22</v>
      </c>
      <c r="D26" s="10" t="s">
        <v>24</v>
      </c>
      <c r="E26" s="10" t="s">
        <v>26</v>
      </c>
      <c r="F26" s="11">
        <f>F27</f>
        <v>1028000</v>
      </c>
      <c r="G26" s="11">
        <f>G27</f>
        <v>1028000</v>
      </c>
      <c r="H26" s="71">
        <f t="shared" si="1"/>
        <v>100</v>
      </c>
    </row>
    <row r="27" spans="1:8" ht="31.5" outlineLevel="5">
      <c r="A27" s="9" t="s">
        <v>27</v>
      </c>
      <c r="B27" s="10" t="s">
        <v>5</v>
      </c>
      <c r="C27" s="10" t="s">
        <v>22</v>
      </c>
      <c r="D27" s="10" t="s">
        <v>24</v>
      </c>
      <c r="E27" s="10" t="s">
        <v>28</v>
      </c>
      <c r="F27" s="11">
        <f>1048000-20000</f>
        <v>1028000</v>
      </c>
      <c r="G27" s="11">
        <f>1048000-20000</f>
        <v>1028000</v>
      </c>
      <c r="H27" s="71">
        <f t="shared" si="1"/>
        <v>100</v>
      </c>
    </row>
    <row r="28" spans="1:8" outlineLevel="5">
      <c r="A28" s="9" t="s">
        <v>29</v>
      </c>
      <c r="B28" s="10" t="s">
        <v>5</v>
      </c>
      <c r="C28" s="10" t="s">
        <v>22</v>
      </c>
      <c r="D28" s="10" t="s">
        <v>24</v>
      </c>
      <c r="E28" s="10" t="s">
        <v>30</v>
      </c>
      <c r="F28" s="11">
        <f>F29+F30</f>
        <v>151000</v>
      </c>
      <c r="G28" s="11">
        <f>G29+G30</f>
        <v>117273.71</v>
      </c>
      <c r="H28" s="71">
        <f t="shared" si="1"/>
        <v>77.664708609271528</v>
      </c>
    </row>
    <row r="29" spans="1:8" ht="31.5" outlineLevel="5">
      <c r="A29" s="9" t="s">
        <v>31</v>
      </c>
      <c r="B29" s="10" t="s">
        <v>5</v>
      </c>
      <c r="C29" s="10" t="s">
        <v>22</v>
      </c>
      <c r="D29" s="10" t="s">
        <v>24</v>
      </c>
      <c r="E29" s="10" t="s">
        <v>32</v>
      </c>
      <c r="F29" s="11">
        <v>20000</v>
      </c>
      <c r="G29" s="11">
        <v>20000</v>
      </c>
      <c r="H29" s="71">
        <f t="shared" si="1"/>
        <v>100</v>
      </c>
    </row>
    <row r="30" spans="1:8" outlineLevel="5">
      <c r="A30" s="9" t="s">
        <v>33</v>
      </c>
      <c r="B30" s="10" t="s">
        <v>5</v>
      </c>
      <c r="C30" s="10" t="s">
        <v>22</v>
      </c>
      <c r="D30" s="10" t="s">
        <v>24</v>
      </c>
      <c r="E30" s="10" t="s">
        <v>34</v>
      </c>
      <c r="F30" s="11">
        <v>131000</v>
      </c>
      <c r="G30" s="72">
        <v>97273.71</v>
      </c>
      <c r="H30" s="71">
        <f t="shared" si="1"/>
        <v>74.254740458015263</v>
      </c>
    </row>
    <row r="31" spans="1:8" outlineLevel="5">
      <c r="A31" s="9" t="s">
        <v>35</v>
      </c>
      <c r="B31" s="10" t="s">
        <v>5</v>
      </c>
      <c r="C31" s="10" t="s">
        <v>22</v>
      </c>
      <c r="D31" s="10" t="s">
        <v>24</v>
      </c>
      <c r="E31" s="10" t="s">
        <v>36</v>
      </c>
      <c r="F31" s="11">
        <f>F32</f>
        <v>10000</v>
      </c>
      <c r="G31" s="11">
        <f>G32</f>
        <v>1274</v>
      </c>
      <c r="H31" s="71">
        <f t="shared" si="1"/>
        <v>12.740000000000002</v>
      </c>
    </row>
    <row r="32" spans="1:8" outlineLevel="5">
      <c r="A32" s="9" t="s">
        <v>37</v>
      </c>
      <c r="B32" s="10" t="s">
        <v>5</v>
      </c>
      <c r="C32" s="10" t="s">
        <v>22</v>
      </c>
      <c r="D32" s="10" t="s">
        <v>24</v>
      </c>
      <c r="E32" s="10" t="s">
        <v>38</v>
      </c>
      <c r="F32" s="11">
        <v>10000</v>
      </c>
      <c r="G32" s="72">
        <v>1274</v>
      </c>
      <c r="H32" s="71">
        <f t="shared" si="1"/>
        <v>12.740000000000002</v>
      </c>
    </row>
    <row r="33" spans="1:8" ht="31.5" outlineLevel="3">
      <c r="A33" s="9" t="s">
        <v>39</v>
      </c>
      <c r="B33" s="10" t="s">
        <v>5</v>
      </c>
      <c r="C33" s="10" t="s">
        <v>22</v>
      </c>
      <c r="D33" s="10" t="s">
        <v>40</v>
      </c>
      <c r="E33" s="10" t="s">
        <v>8</v>
      </c>
      <c r="F33" s="11">
        <f t="shared" ref="F33:G34" si="3">F34</f>
        <v>3362919</v>
      </c>
      <c r="G33" s="11">
        <f t="shared" si="3"/>
        <v>3362919</v>
      </c>
      <c r="H33" s="71">
        <f t="shared" si="1"/>
        <v>100</v>
      </c>
    </row>
    <row r="34" spans="1:8" ht="63" outlineLevel="3">
      <c r="A34" s="9" t="s">
        <v>17</v>
      </c>
      <c r="B34" s="10" t="s">
        <v>5</v>
      </c>
      <c r="C34" s="10" t="s">
        <v>22</v>
      </c>
      <c r="D34" s="10" t="s">
        <v>40</v>
      </c>
      <c r="E34" s="10" t="s">
        <v>18</v>
      </c>
      <c r="F34" s="11">
        <f t="shared" si="3"/>
        <v>3362919</v>
      </c>
      <c r="G34" s="11">
        <f t="shared" si="3"/>
        <v>3362919</v>
      </c>
      <c r="H34" s="71">
        <f t="shared" si="1"/>
        <v>100</v>
      </c>
    </row>
    <row r="35" spans="1:8" ht="31.5" outlineLevel="5">
      <c r="A35" s="9" t="s">
        <v>19</v>
      </c>
      <c r="B35" s="10" t="s">
        <v>5</v>
      </c>
      <c r="C35" s="10" t="s">
        <v>22</v>
      </c>
      <c r="D35" s="10" t="s">
        <v>40</v>
      </c>
      <c r="E35" s="10" t="s">
        <v>20</v>
      </c>
      <c r="F35" s="11">
        <f>2663000+699919</f>
        <v>3362919</v>
      </c>
      <c r="G35" s="11">
        <f>2663000+699919</f>
        <v>3362919</v>
      </c>
      <c r="H35" s="71">
        <f t="shared" si="1"/>
        <v>100</v>
      </c>
    </row>
    <row r="36" spans="1:8" ht="47.25" outlineLevel="1">
      <c r="A36" s="9" t="s">
        <v>41</v>
      </c>
      <c r="B36" s="10" t="s">
        <v>5</v>
      </c>
      <c r="C36" s="10" t="s">
        <v>42</v>
      </c>
      <c r="D36" s="10" t="s">
        <v>7</v>
      </c>
      <c r="E36" s="10" t="s">
        <v>8</v>
      </c>
      <c r="F36" s="11">
        <f t="shared" ref="F36:G38" si="4">F37</f>
        <v>111531501.52000001</v>
      </c>
      <c r="G36" s="11">
        <f t="shared" si="4"/>
        <v>111493109.52000001</v>
      </c>
      <c r="H36" s="71">
        <f t="shared" si="1"/>
        <v>99.965577438233339</v>
      </c>
    </row>
    <row r="37" spans="1:8" ht="31.5" outlineLevel="2">
      <c r="A37" s="9" t="s">
        <v>11</v>
      </c>
      <c r="B37" s="10" t="s">
        <v>5</v>
      </c>
      <c r="C37" s="10" t="s">
        <v>42</v>
      </c>
      <c r="D37" s="10" t="s">
        <v>12</v>
      </c>
      <c r="E37" s="10" t="s">
        <v>8</v>
      </c>
      <c r="F37" s="11">
        <f t="shared" si="4"/>
        <v>111531501.52000001</v>
      </c>
      <c r="G37" s="11">
        <f t="shared" si="4"/>
        <v>111493109.52000001</v>
      </c>
      <c r="H37" s="71">
        <f t="shared" si="1"/>
        <v>99.965577438233339</v>
      </c>
    </row>
    <row r="38" spans="1:8" ht="31.5" outlineLevel="2">
      <c r="A38" s="9" t="s">
        <v>13</v>
      </c>
      <c r="B38" s="10" t="s">
        <v>5</v>
      </c>
      <c r="C38" s="10" t="s">
        <v>42</v>
      </c>
      <c r="D38" s="10" t="s">
        <v>14</v>
      </c>
      <c r="E38" s="10" t="s">
        <v>8</v>
      </c>
      <c r="F38" s="11">
        <f t="shared" si="4"/>
        <v>111531501.52000001</v>
      </c>
      <c r="G38" s="11">
        <f t="shared" si="4"/>
        <v>111493109.52000001</v>
      </c>
      <c r="H38" s="71">
        <f t="shared" si="1"/>
        <v>99.965577438233339</v>
      </c>
    </row>
    <row r="39" spans="1:8" ht="35.25" customHeight="1" outlineLevel="3">
      <c r="A39" s="15" t="s">
        <v>23</v>
      </c>
      <c r="B39" s="10" t="s">
        <v>5</v>
      </c>
      <c r="C39" s="10" t="s">
        <v>42</v>
      </c>
      <c r="D39" s="10" t="s">
        <v>24</v>
      </c>
      <c r="E39" s="10" t="s">
        <v>8</v>
      </c>
      <c r="F39" s="11">
        <f>F40+F42+F44</f>
        <v>111531501.52000001</v>
      </c>
      <c r="G39" s="11">
        <f>G40+G42+G44</f>
        <v>111493109.52000001</v>
      </c>
      <c r="H39" s="71">
        <f t="shared" si="1"/>
        <v>99.965577438233339</v>
      </c>
    </row>
    <row r="40" spans="1:8" ht="63" outlineLevel="3">
      <c r="A40" s="9" t="s">
        <v>17</v>
      </c>
      <c r="B40" s="10" t="s">
        <v>5</v>
      </c>
      <c r="C40" s="10" t="s">
        <v>42</v>
      </c>
      <c r="D40" s="10" t="s">
        <v>24</v>
      </c>
      <c r="E40" s="10" t="s">
        <v>18</v>
      </c>
      <c r="F40" s="11">
        <f>F41</f>
        <v>110447209.84</v>
      </c>
      <c r="G40" s="11">
        <f>G41</f>
        <v>110438817.84</v>
      </c>
      <c r="H40" s="71">
        <f t="shared" si="1"/>
        <v>99.992401799907711</v>
      </c>
    </row>
    <row r="41" spans="1:8" ht="31.5" outlineLevel="5">
      <c r="A41" s="12" t="s">
        <v>19</v>
      </c>
      <c r="B41" s="13" t="s">
        <v>5</v>
      </c>
      <c r="C41" s="13" t="s">
        <v>42</v>
      </c>
      <c r="D41" s="13" t="s">
        <v>24</v>
      </c>
      <c r="E41" s="13" t="s">
        <v>20</v>
      </c>
      <c r="F41" s="14">
        <f>65008096-499520.31+10004328+350000+200000+27040772+7500000+200000+643534.15</f>
        <v>110447209.84</v>
      </c>
      <c r="G41" s="72">
        <v>110438817.84</v>
      </c>
      <c r="H41" s="71">
        <f t="shared" si="1"/>
        <v>99.992401799907711</v>
      </c>
    </row>
    <row r="42" spans="1:8" ht="31.5" outlineLevel="5">
      <c r="A42" s="9" t="s">
        <v>25</v>
      </c>
      <c r="B42" s="10" t="s">
        <v>5</v>
      </c>
      <c r="C42" s="10" t="s">
        <v>42</v>
      </c>
      <c r="D42" s="10" t="s">
        <v>24</v>
      </c>
      <c r="E42" s="10" t="s">
        <v>26</v>
      </c>
      <c r="F42" s="11">
        <f>F43</f>
        <v>870000</v>
      </c>
      <c r="G42" s="11">
        <f>G43</f>
        <v>870000</v>
      </c>
      <c r="H42" s="71">
        <f t="shared" si="1"/>
        <v>100</v>
      </c>
    </row>
    <row r="43" spans="1:8" ht="31.5" outlineLevel="5">
      <c r="A43" s="9" t="s">
        <v>27</v>
      </c>
      <c r="B43" s="10" t="s">
        <v>5</v>
      </c>
      <c r="C43" s="10" t="s">
        <v>42</v>
      </c>
      <c r="D43" s="10" t="s">
        <v>24</v>
      </c>
      <c r="E43" s="10" t="s">
        <v>28</v>
      </c>
      <c r="F43" s="11">
        <v>870000</v>
      </c>
      <c r="G43" s="11">
        <v>870000</v>
      </c>
      <c r="H43" s="71">
        <f t="shared" si="1"/>
        <v>100</v>
      </c>
    </row>
    <row r="44" spans="1:8" outlineLevel="5">
      <c r="A44" s="9" t="s">
        <v>35</v>
      </c>
      <c r="B44" s="10" t="s">
        <v>5</v>
      </c>
      <c r="C44" s="10" t="s">
        <v>42</v>
      </c>
      <c r="D44" s="10" t="s">
        <v>24</v>
      </c>
      <c r="E44" s="10" t="s">
        <v>36</v>
      </c>
      <c r="F44" s="11">
        <f>F45</f>
        <v>214291.68</v>
      </c>
      <c r="G44" s="11">
        <f>G45</f>
        <v>184291.68</v>
      </c>
      <c r="H44" s="71">
        <f t="shared" si="1"/>
        <v>86.000389749149392</v>
      </c>
    </row>
    <row r="45" spans="1:8" outlineLevel="5">
      <c r="A45" s="12" t="s">
        <v>37</v>
      </c>
      <c r="B45" s="13" t="s">
        <v>5</v>
      </c>
      <c r="C45" s="13" t="s">
        <v>42</v>
      </c>
      <c r="D45" s="13" t="s">
        <v>24</v>
      </c>
      <c r="E45" s="13" t="s">
        <v>38</v>
      </c>
      <c r="F45" s="14">
        <f>141732+42559.68+30000</f>
        <v>214291.68</v>
      </c>
      <c r="G45" s="72">
        <v>184291.68</v>
      </c>
      <c r="H45" s="71">
        <f t="shared" si="1"/>
        <v>86.000389749149392</v>
      </c>
    </row>
    <row r="46" spans="1:8" outlineLevel="5">
      <c r="A46" s="9" t="s">
        <v>43</v>
      </c>
      <c r="B46" s="10" t="s">
        <v>5</v>
      </c>
      <c r="C46" s="10" t="s">
        <v>44</v>
      </c>
      <c r="D46" s="10" t="s">
        <v>7</v>
      </c>
      <c r="E46" s="10" t="s">
        <v>8</v>
      </c>
      <c r="F46" s="11">
        <f t="shared" ref="F46:G50" si="5">F47</f>
        <v>23821</v>
      </c>
      <c r="G46" s="11">
        <f t="shared" si="5"/>
        <v>23821</v>
      </c>
      <c r="H46" s="71">
        <f t="shared" si="1"/>
        <v>100</v>
      </c>
    </row>
    <row r="47" spans="1:8" ht="31.5" outlineLevel="5">
      <c r="A47" s="9" t="s">
        <v>11</v>
      </c>
      <c r="B47" s="10" t="s">
        <v>5</v>
      </c>
      <c r="C47" s="10" t="s">
        <v>44</v>
      </c>
      <c r="D47" s="10" t="s">
        <v>12</v>
      </c>
      <c r="E47" s="10" t="s">
        <v>8</v>
      </c>
      <c r="F47" s="11">
        <f t="shared" si="5"/>
        <v>23821</v>
      </c>
      <c r="G47" s="11">
        <f t="shared" si="5"/>
        <v>23821</v>
      </c>
      <c r="H47" s="71">
        <f t="shared" si="1"/>
        <v>100</v>
      </c>
    </row>
    <row r="48" spans="1:8" ht="31.5" outlineLevel="5">
      <c r="A48" s="9" t="s">
        <v>13</v>
      </c>
      <c r="B48" s="10" t="s">
        <v>5</v>
      </c>
      <c r="C48" s="10" t="s">
        <v>44</v>
      </c>
      <c r="D48" s="10" t="s">
        <v>14</v>
      </c>
      <c r="E48" s="10" t="s">
        <v>8</v>
      </c>
      <c r="F48" s="11">
        <f t="shared" si="5"/>
        <v>23821</v>
      </c>
      <c r="G48" s="11">
        <f t="shared" si="5"/>
        <v>23821</v>
      </c>
      <c r="H48" s="71">
        <f t="shared" si="1"/>
        <v>100</v>
      </c>
    </row>
    <row r="49" spans="1:8" ht="47.25" outlineLevel="5">
      <c r="A49" s="9" t="s">
        <v>45</v>
      </c>
      <c r="B49" s="10" t="s">
        <v>5</v>
      </c>
      <c r="C49" s="10" t="s">
        <v>44</v>
      </c>
      <c r="D49" s="10" t="s">
        <v>46</v>
      </c>
      <c r="E49" s="10" t="s">
        <v>8</v>
      </c>
      <c r="F49" s="11">
        <f t="shared" si="5"/>
        <v>23821</v>
      </c>
      <c r="G49" s="11">
        <f t="shared" si="5"/>
        <v>23821</v>
      </c>
      <c r="H49" s="71">
        <f t="shared" si="1"/>
        <v>100</v>
      </c>
    </row>
    <row r="50" spans="1:8" ht="31.5" outlineLevel="5">
      <c r="A50" s="9" t="s">
        <v>25</v>
      </c>
      <c r="B50" s="10" t="s">
        <v>5</v>
      </c>
      <c r="C50" s="10" t="s">
        <v>44</v>
      </c>
      <c r="D50" s="10" t="s">
        <v>46</v>
      </c>
      <c r="E50" s="10" t="s">
        <v>26</v>
      </c>
      <c r="F50" s="11">
        <f t="shared" si="5"/>
        <v>23821</v>
      </c>
      <c r="G50" s="11">
        <f t="shared" si="5"/>
        <v>23821</v>
      </c>
      <c r="H50" s="71">
        <f t="shared" si="1"/>
        <v>100</v>
      </c>
    </row>
    <row r="51" spans="1:8" ht="31.5" outlineLevel="5">
      <c r="A51" s="9" t="s">
        <v>27</v>
      </c>
      <c r="B51" s="10" t="s">
        <v>5</v>
      </c>
      <c r="C51" s="10" t="s">
        <v>44</v>
      </c>
      <c r="D51" s="10" t="s">
        <v>46</v>
      </c>
      <c r="E51" s="10" t="s">
        <v>28</v>
      </c>
      <c r="F51" s="11">
        <f>6520+17301</f>
        <v>23821</v>
      </c>
      <c r="G51" s="11">
        <f>6520+17301</f>
        <v>23821</v>
      </c>
      <c r="H51" s="71">
        <f t="shared" si="1"/>
        <v>100</v>
      </c>
    </row>
    <row r="52" spans="1:8" ht="31.5" outlineLevel="1">
      <c r="A52" s="9" t="s">
        <v>47</v>
      </c>
      <c r="B52" s="10" t="s">
        <v>5</v>
      </c>
      <c r="C52" s="10" t="s">
        <v>48</v>
      </c>
      <c r="D52" s="10" t="s">
        <v>7</v>
      </c>
      <c r="E52" s="10" t="s">
        <v>8</v>
      </c>
      <c r="F52" s="11">
        <f t="shared" ref="F52:G53" si="6">F53</f>
        <v>20036636.030000001</v>
      </c>
      <c r="G52" s="11">
        <f t="shared" si="6"/>
        <v>19996572.449999999</v>
      </c>
      <c r="H52" s="71">
        <f t="shared" si="1"/>
        <v>99.800048371692654</v>
      </c>
    </row>
    <row r="53" spans="1:8" ht="31.5" outlineLevel="2">
      <c r="A53" s="9" t="s">
        <v>11</v>
      </c>
      <c r="B53" s="10" t="s">
        <v>5</v>
      </c>
      <c r="C53" s="10" t="s">
        <v>48</v>
      </c>
      <c r="D53" s="10" t="s">
        <v>12</v>
      </c>
      <c r="E53" s="10" t="s">
        <v>8</v>
      </c>
      <c r="F53" s="11">
        <f t="shared" si="6"/>
        <v>20036636.030000001</v>
      </c>
      <c r="G53" s="11">
        <f t="shared" si="6"/>
        <v>19996572.449999999</v>
      </c>
      <c r="H53" s="71">
        <f t="shared" si="1"/>
        <v>99.800048371692654</v>
      </c>
    </row>
    <row r="54" spans="1:8" ht="31.5" outlineLevel="2">
      <c r="A54" s="9" t="s">
        <v>13</v>
      </c>
      <c r="B54" s="10" t="s">
        <v>5</v>
      </c>
      <c r="C54" s="10" t="s">
        <v>48</v>
      </c>
      <c r="D54" s="10" t="s">
        <v>14</v>
      </c>
      <c r="E54" s="10" t="s">
        <v>8</v>
      </c>
      <c r="F54" s="11">
        <f>F55+F62</f>
        <v>20036636.030000001</v>
      </c>
      <c r="G54" s="11">
        <f>G55+G62</f>
        <v>19996572.449999999</v>
      </c>
      <c r="H54" s="71">
        <f t="shared" si="1"/>
        <v>99.800048371692654</v>
      </c>
    </row>
    <row r="55" spans="1:8" ht="47.25" outlineLevel="3">
      <c r="A55" s="15" t="s">
        <v>23</v>
      </c>
      <c r="B55" s="10" t="s">
        <v>5</v>
      </c>
      <c r="C55" s="10" t="s">
        <v>48</v>
      </c>
      <c r="D55" s="10" t="s">
        <v>24</v>
      </c>
      <c r="E55" s="10" t="s">
        <v>8</v>
      </c>
      <c r="F55" s="11">
        <f>F56+F58+F60</f>
        <v>18204289.48</v>
      </c>
      <c r="G55" s="11">
        <f>G56+G58+G60</f>
        <v>18164225.899999999</v>
      </c>
      <c r="H55" s="71">
        <f t="shared" si="1"/>
        <v>99.779922308728302</v>
      </c>
    </row>
    <row r="56" spans="1:8" ht="63" outlineLevel="3">
      <c r="A56" s="9" t="s">
        <v>17</v>
      </c>
      <c r="B56" s="10" t="s">
        <v>5</v>
      </c>
      <c r="C56" s="10" t="s">
        <v>48</v>
      </c>
      <c r="D56" s="10" t="s">
        <v>24</v>
      </c>
      <c r="E56" s="10" t="s">
        <v>18</v>
      </c>
      <c r="F56" s="11">
        <f>F57</f>
        <v>16339289.48</v>
      </c>
      <c r="G56" s="11">
        <f>G57</f>
        <v>16301225.68</v>
      </c>
      <c r="H56" s="71">
        <f t="shared" si="1"/>
        <v>99.767041277733696</v>
      </c>
    </row>
    <row r="57" spans="1:8" ht="31.5" outlineLevel="5">
      <c r="A57" s="12" t="s">
        <v>19</v>
      </c>
      <c r="B57" s="13" t="s">
        <v>5</v>
      </c>
      <c r="C57" s="13" t="s">
        <v>48</v>
      </c>
      <c r="D57" s="13" t="s">
        <v>24</v>
      </c>
      <c r="E57" s="13" t="s">
        <v>20</v>
      </c>
      <c r="F57" s="16">
        <f>985500+13620500+1178216+190000+302521.73+90220.03-27668.28</f>
        <v>16339289.48</v>
      </c>
      <c r="G57" s="72">
        <v>16301225.68</v>
      </c>
      <c r="H57" s="71">
        <f t="shared" si="1"/>
        <v>99.767041277733696</v>
      </c>
    </row>
    <row r="58" spans="1:8" ht="31.5" outlineLevel="5">
      <c r="A58" s="9" t="s">
        <v>25</v>
      </c>
      <c r="B58" s="10" t="s">
        <v>5</v>
      </c>
      <c r="C58" s="10" t="s">
        <v>48</v>
      </c>
      <c r="D58" s="10" t="s">
        <v>24</v>
      </c>
      <c r="E58" s="10" t="s">
        <v>26</v>
      </c>
      <c r="F58" s="17">
        <f>F59</f>
        <v>1863000</v>
      </c>
      <c r="G58" s="17">
        <f>G59</f>
        <v>1863000</v>
      </c>
      <c r="H58" s="71">
        <f t="shared" si="1"/>
        <v>100</v>
      </c>
    </row>
    <row r="59" spans="1:8" ht="31.5" outlineLevel="5">
      <c r="A59" s="9" t="s">
        <v>27</v>
      </c>
      <c r="B59" s="10" t="s">
        <v>5</v>
      </c>
      <c r="C59" s="10" t="s">
        <v>48</v>
      </c>
      <c r="D59" s="10" t="s">
        <v>24</v>
      </c>
      <c r="E59" s="10" t="s">
        <v>28</v>
      </c>
      <c r="F59" s="17">
        <f>295000+1568000</f>
        <v>1863000</v>
      </c>
      <c r="G59" s="17">
        <f>295000+1568000</f>
        <v>1863000</v>
      </c>
      <c r="H59" s="71">
        <f t="shared" si="1"/>
        <v>100</v>
      </c>
    </row>
    <row r="60" spans="1:8" outlineLevel="5">
      <c r="A60" s="9" t="s">
        <v>35</v>
      </c>
      <c r="B60" s="10" t="s">
        <v>5</v>
      </c>
      <c r="C60" s="10" t="s">
        <v>48</v>
      </c>
      <c r="D60" s="10" t="s">
        <v>24</v>
      </c>
      <c r="E60" s="10" t="s">
        <v>36</v>
      </c>
      <c r="F60" s="17">
        <f>F61</f>
        <v>2000</v>
      </c>
      <c r="G60" s="17">
        <f>G61</f>
        <v>0.22</v>
      </c>
      <c r="H60" s="71">
        <f t="shared" si="1"/>
        <v>1.1000000000000001E-2</v>
      </c>
    </row>
    <row r="61" spans="1:8" outlineLevel="5">
      <c r="A61" s="9" t="s">
        <v>37</v>
      </c>
      <c r="B61" s="10" t="s">
        <v>5</v>
      </c>
      <c r="C61" s="10" t="s">
        <v>48</v>
      </c>
      <c r="D61" s="10" t="s">
        <v>24</v>
      </c>
      <c r="E61" s="10" t="s">
        <v>38</v>
      </c>
      <c r="F61" s="17">
        <v>2000</v>
      </c>
      <c r="G61" s="72">
        <v>0.22</v>
      </c>
      <c r="H61" s="71">
        <f t="shared" si="1"/>
        <v>1.1000000000000001E-2</v>
      </c>
    </row>
    <row r="62" spans="1:8" ht="31.5" outlineLevel="5">
      <c r="A62" s="9" t="s">
        <v>49</v>
      </c>
      <c r="B62" s="10" t="s">
        <v>5</v>
      </c>
      <c r="C62" s="10" t="s">
        <v>48</v>
      </c>
      <c r="D62" s="10" t="s">
        <v>50</v>
      </c>
      <c r="E62" s="10" t="s">
        <v>8</v>
      </c>
      <c r="F62" s="17">
        <f t="shared" ref="F62:G63" si="7">F63</f>
        <v>1832346.55</v>
      </c>
      <c r="G62" s="17">
        <f t="shared" si="7"/>
        <v>1832346.55</v>
      </c>
      <c r="H62" s="71">
        <f t="shared" si="1"/>
        <v>100</v>
      </c>
    </row>
    <row r="63" spans="1:8" ht="63" outlineLevel="5">
      <c r="A63" s="9" t="s">
        <v>17</v>
      </c>
      <c r="B63" s="10" t="s">
        <v>5</v>
      </c>
      <c r="C63" s="10" t="s">
        <v>48</v>
      </c>
      <c r="D63" s="10" t="s">
        <v>50</v>
      </c>
      <c r="E63" s="10" t="s">
        <v>18</v>
      </c>
      <c r="F63" s="17">
        <f t="shared" si="7"/>
        <v>1832346.55</v>
      </c>
      <c r="G63" s="17">
        <f t="shared" si="7"/>
        <v>1832346.55</v>
      </c>
      <c r="H63" s="71">
        <f t="shared" si="1"/>
        <v>100</v>
      </c>
    </row>
    <row r="64" spans="1:8" ht="31.5" outlineLevel="5">
      <c r="A64" s="12" t="s">
        <v>19</v>
      </c>
      <c r="B64" s="13" t="s">
        <v>5</v>
      </c>
      <c r="C64" s="13" t="s">
        <v>48</v>
      </c>
      <c r="D64" s="13" t="s">
        <v>50</v>
      </c>
      <c r="E64" s="13" t="s">
        <v>20</v>
      </c>
      <c r="F64" s="16">
        <f>1487200+317478.27+27668.28</f>
        <v>1832346.55</v>
      </c>
      <c r="G64" s="16">
        <f>1487200+317478.27+27668.28</f>
        <v>1832346.55</v>
      </c>
      <c r="H64" s="71">
        <f t="shared" si="1"/>
        <v>100</v>
      </c>
    </row>
    <row r="65" spans="1:8" outlineLevel="5">
      <c r="A65" s="9" t="s">
        <v>51</v>
      </c>
      <c r="B65" s="10" t="s">
        <v>5</v>
      </c>
      <c r="C65" s="10" t="s">
        <v>52</v>
      </c>
      <c r="D65" s="10" t="s">
        <v>7</v>
      </c>
      <c r="E65" s="10" t="s">
        <v>8</v>
      </c>
      <c r="F65" s="17">
        <f t="shared" ref="F65:G69" si="8">F66</f>
        <v>1765269.15</v>
      </c>
      <c r="G65" s="17">
        <f t="shared" si="8"/>
        <v>0</v>
      </c>
      <c r="H65" s="71">
        <f t="shared" si="1"/>
        <v>0</v>
      </c>
    </row>
    <row r="66" spans="1:8" ht="31.5" outlineLevel="5">
      <c r="A66" s="9" t="s">
        <v>11</v>
      </c>
      <c r="B66" s="10" t="s">
        <v>5</v>
      </c>
      <c r="C66" s="10" t="s">
        <v>52</v>
      </c>
      <c r="D66" s="10" t="s">
        <v>12</v>
      </c>
      <c r="E66" s="10" t="s">
        <v>8</v>
      </c>
      <c r="F66" s="17">
        <f t="shared" si="8"/>
        <v>1765269.15</v>
      </c>
      <c r="G66" s="17">
        <f t="shared" si="8"/>
        <v>0</v>
      </c>
      <c r="H66" s="71">
        <f t="shared" si="1"/>
        <v>0</v>
      </c>
    </row>
    <row r="67" spans="1:8" ht="31.5" outlineLevel="5">
      <c r="A67" s="9" t="s">
        <v>13</v>
      </c>
      <c r="B67" s="10" t="s">
        <v>5</v>
      </c>
      <c r="C67" s="10" t="s">
        <v>52</v>
      </c>
      <c r="D67" s="10" t="s">
        <v>14</v>
      </c>
      <c r="E67" s="10" t="s">
        <v>8</v>
      </c>
      <c r="F67" s="17">
        <f t="shared" si="8"/>
        <v>1765269.15</v>
      </c>
      <c r="G67" s="17">
        <f t="shared" si="8"/>
        <v>0</v>
      </c>
      <c r="H67" s="71">
        <f t="shared" si="1"/>
        <v>0</v>
      </c>
    </row>
    <row r="68" spans="1:8" ht="31.5" outlineLevel="5">
      <c r="A68" s="9" t="s">
        <v>53</v>
      </c>
      <c r="B68" s="10" t="s">
        <v>5</v>
      </c>
      <c r="C68" s="10" t="s">
        <v>52</v>
      </c>
      <c r="D68" s="10" t="s">
        <v>54</v>
      </c>
      <c r="E68" s="10" t="s">
        <v>8</v>
      </c>
      <c r="F68" s="17">
        <f t="shared" si="8"/>
        <v>1765269.15</v>
      </c>
      <c r="G68" s="17">
        <f t="shared" si="8"/>
        <v>0</v>
      </c>
      <c r="H68" s="71">
        <f t="shared" si="1"/>
        <v>0</v>
      </c>
    </row>
    <row r="69" spans="1:8" outlineLevel="5">
      <c r="A69" s="9" t="s">
        <v>35</v>
      </c>
      <c r="B69" s="10" t="s">
        <v>5</v>
      </c>
      <c r="C69" s="10" t="s">
        <v>52</v>
      </c>
      <c r="D69" s="10" t="s">
        <v>54</v>
      </c>
      <c r="E69" s="10" t="s">
        <v>36</v>
      </c>
      <c r="F69" s="17">
        <f t="shared" si="8"/>
        <v>1765269.15</v>
      </c>
      <c r="G69" s="17">
        <f t="shared" si="8"/>
        <v>0</v>
      </c>
      <c r="H69" s="71">
        <f t="shared" si="1"/>
        <v>0</v>
      </c>
    </row>
    <row r="70" spans="1:8" outlineLevel="5">
      <c r="A70" s="12" t="s">
        <v>55</v>
      </c>
      <c r="B70" s="13" t="s">
        <v>5</v>
      </c>
      <c r="C70" s="13" t="s">
        <v>52</v>
      </c>
      <c r="D70" s="13" t="s">
        <v>54</v>
      </c>
      <c r="E70" s="13" t="s">
        <v>56</v>
      </c>
      <c r="F70" s="16">
        <v>1765269.15</v>
      </c>
      <c r="G70" s="16">
        <v>0</v>
      </c>
      <c r="H70" s="71">
        <f t="shared" si="1"/>
        <v>0</v>
      </c>
    </row>
    <row r="71" spans="1:8" outlineLevel="1">
      <c r="A71" s="9" t="s">
        <v>57</v>
      </c>
      <c r="B71" s="10" t="s">
        <v>5</v>
      </c>
      <c r="C71" s="10" t="s">
        <v>58</v>
      </c>
      <c r="D71" s="10" t="s">
        <v>7</v>
      </c>
      <c r="E71" s="10" t="s">
        <v>8</v>
      </c>
      <c r="F71" s="11">
        <f>F72+F77+F82+F91+F99+F121+F126+F131+F136+F141+F146+F155</f>
        <v>140327484.48000002</v>
      </c>
      <c r="G71" s="11">
        <f>G72+G77+G82+G91+G99+G121+G126+G131+G136+G141+G146+G155</f>
        <v>133101803.29000002</v>
      </c>
      <c r="H71" s="71">
        <f t="shared" si="1"/>
        <v>94.850843926422826</v>
      </c>
    </row>
    <row r="72" spans="1:8" ht="47.25" outlineLevel="1">
      <c r="A72" s="9" t="s">
        <v>59</v>
      </c>
      <c r="B72" s="10" t="s">
        <v>5</v>
      </c>
      <c r="C72" s="10" t="s">
        <v>58</v>
      </c>
      <c r="D72" s="10" t="s">
        <v>60</v>
      </c>
      <c r="E72" s="10" t="s">
        <v>8</v>
      </c>
      <c r="F72" s="11">
        <f t="shared" ref="F72:G75" si="9">F73</f>
        <v>610000</v>
      </c>
      <c r="G72" s="11">
        <f t="shared" si="9"/>
        <v>565898</v>
      </c>
      <c r="H72" s="71">
        <f t="shared" si="1"/>
        <v>92.770163934426236</v>
      </c>
    </row>
    <row r="73" spans="1:8" ht="47.25" outlineLevel="1">
      <c r="A73" s="9" t="s">
        <v>61</v>
      </c>
      <c r="B73" s="10" t="s">
        <v>5</v>
      </c>
      <c r="C73" s="10" t="s">
        <v>58</v>
      </c>
      <c r="D73" s="10" t="s">
        <v>62</v>
      </c>
      <c r="E73" s="10" t="s">
        <v>8</v>
      </c>
      <c r="F73" s="11">
        <f t="shared" si="9"/>
        <v>610000</v>
      </c>
      <c r="G73" s="11">
        <f t="shared" si="9"/>
        <v>565898</v>
      </c>
      <c r="H73" s="71">
        <f t="shared" si="1"/>
        <v>92.770163934426236</v>
      </c>
    </row>
    <row r="74" spans="1:8" ht="47.25" outlineLevel="1">
      <c r="A74" s="9" t="s">
        <v>63</v>
      </c>
      <c r="B74" s="10" t="s">
        <v>5</v>
      </c>
      <c r="C74" s="10" t="s">
        <v>58</v>
      </c>
      <c r="D74" s="10" t="s">
        <v>64</v>
      </c>
      <c r="E74" s="10" t="s">
        <v>8</v>
      </c>
      <c r="F74" s="11">
        <f t="shared" si="9"/>
        <v>610000</v>
      </c>
      <c r="G74" s="11">
        <f t="shared" si="9"/>
        <v>565898</v>
      </c>
      <c r="H74" s="71">
        <f t="shared" si="1"/>
        <v>92.770163934426236</v>
      </c>
    </row>
    <row r="75" spans="1:8" ht="31.5" outlineLevel="1">
      <c r="A75" s="9" t="s">
        <v>25</v>
      </c>
      <c r="B75" s="10" t="s">
        <v>5</v>
      </c>
      <c r="C75" s="10" t="s">
        <v>58</v>
      </c>
      <c r="D75" s="10" t="s">
        <v>64</v>
      </c>
      <c r="E75" s="10" t="s">
        <v>26</v>
      </c>
      <c r="F75" s="11">
        <f t="shared" si="9"/>
        <v>610000</v>
      </c>
      <c r="G75" s="11">
        <f t="shared" si="9"/>
        <v>565898</v>
      </c>
      <c r="H75" s="71">
        <f t="shared" si="1"/>
        <v>92.770163934426236</v>
      </c>
    </row>
    <row r="76" spans="1:8" ht="31.5" outlineLevel="1">
      <c r="A76" s="9" t="s">
        <v>27</v>
      </c>
      <c r="B76" s="10" t="s">
        <v>5</v>
      </c>
      <c r="C76" s="10" t="s">
        <v>58</v>
      </c>
      <c r="D76" s="10" t="s">
        <v>64</v>
      </c>
      <c r="E76" s="10" t="s">
        <v>28</v>
      </c>
      <c r="F76" s="11">
        <v>610000</v>
      </c>
      <c r="G76" s="72">
        <v>565898</v>
      </c>
      <c r="H76" s="71">
        <f t="shared" si="1"/>
        <v>92.770163934426236</v>
      </c>
    </row>
    <row r="77" spans="1:8" ht="47.25" outlineLevel="1">
      <c r="A77" s="9" t="s">
        <v>65</v>
      </c>
      <c r="B77" s="10" t="s">
        <v>5</v>
      </c>
      <c r="C77" s="10" t="s">
        <v>58</v>
      </c>
      <c r="D77" s="10" t="s">
        <v>66</v>
      </c>
      <c r="E77" s="10" t="s">
        <v>8</v>
      </c>
      <c r="F77" s="11">
        <f t="shared" ref="F77:G80" si="10">F78</f>
        <v>100000</v>
      </c>
      <c r="G77" s="11">
        <f t="shared" si="10"/>
        <v>100000</v>
      </c>
      <c r="H77" s="71">
        <f t="shared" si="1"/>
        <v>100</v>
      </c>
    </row>
    <row r="78" spans="1:8" ht="47.25" outlineLevel="1">
      <c r="A78" s="9" t="s">
        <v>67</v>
      </c>
      <c r="B78" s="10" t="s">
        <v>5</v>
      </c>
      <c r="C78" s="10" t="s">
        <v>58</v>
      </c>
      <c r="D78" s="10" t="s">
        <v>68</v>
      </c>
      <c r="E78" s="10" t="s">
        <v>8</v>
      </c>
      <c r="F78" s="11">
        <f t="shared" si="10"/>
        <v>100000</v>
      </c>
      <c r="G78" s="11">
        <f t="shared" si="10"/>
        <v>100000</v>
      </c>
      <c r="H78" s="71">
        <f t="shared" si="1"/>
        <v>100</v>
      </c>
    </row>
    <row r="79" spans="1:8" outlineLevel="1">
      <c r="A79" s="9" t="s">
        <v>69</v>
      </c>
      <c r="B79" s="10" t="s">
        <v>5</v>
      </c>
      <c r="C79" s="10" t="s">
        <v>58</v>
      </c>
      <c r="D79" s="10" t="s">
        <v>70</v>
      </c>
      <c r="E79" s="10" t="s">
        <v>8</v>
      </c>
      <c r="F79" s="11">
        <f t="shared" si="10"/>
        <v>100000</v>
      </c>
      <c r="G79" s="11">
        <f t="shared" si="10"/>
        <v>100000</v>
      </c>
      <c r="H79" s="71">
        <f t="shared" ref="H79:H139" si="11">G79/F79*100</f>
        <v>100</v>
      </c>
    </row>
    <row r="80" spans="1:8" ht="31.5" outlineLevel="1">
      <c r="A80" s="9" t="s">
        <v>25</v>
      </c>
      <c r="B80" s="10" t="s">
        <v>5</v>
      </c>
      <c r="C80" s="10" t="s">
        <v>58</v>
      </c>
      <c r="D80" s="10" t="s">
        <v>70</v>
      </c>
      <c r="E80" s="10" t="s">
        <v>26</v>
      </c>
      <c r="F80" s="11">
        <f t="shared" si="10"/>
        <v>100000</v>
      </c>
      <c r="G80" s="11">
        <f t="shared" si="10"/>
        <v>100000</v>
      </c>
      <c r="H80" s="71">
        <f t="shared" si="11"/>
        <v>100</v>
      </c>
    </row>
    <row r="81" spans="1:8" ht="31.5" outlineLevel="1">
      <c r="A81" s="9" t="s">
        <v>71</v>
      </c>
      <c r="B81" s="10" t="s">
        <v>5</v>
      </c>
      <c r="C81" s="10" t="s">
        <v>58</v>
      </c>
      <c r="D81" s="10" t="s">
        <v>70</v>
      </c>
      <c r="E81" s="10" t="s">
        <v>28</v>
      </c>
      <c r="F81" s="11">
        <v>100000</v>
      </c>
      <c r="G81" s="11">
        <v>100000</v>
      </c>
      <c r="H81" s="71">
        <f t="shared" si="11"/>
        <v>100</v>
      </c>
    </row>
    <row r="82" spans="1:8" ht="47.25" outlineLevel="1">
      <c r="A82" s="18" t="s">
        <v>72</v>
      </c>
      <c r="B82" s="10" t="s">
        <v>5</v>
      </c>
      <c r="C82" s="10" t="s">
        <v>58</v>
      </c>
      <c r="D82" s="10" t="s">
        <v>73</v>
      </c>
      <c r="E82" s="10" t="s">
        <v>8</v>
      </c>
      <c r="F82" s="17">
        <f t="shared" ref="F82:G83" si="12">F83</f>
        <v>15473000</v>
      </c>
      <c r="G82" s="17">
        <f t="shared" si="12"/>
        <v>14767268.779999999</v>
      </c>
      <c r="H82" s="71">
        <f t="shared" si="11"/>
        <v>95.438950300523487</v>
      </c>
    </row>
    <row r="83" spans="1:8" ht="63" outlineLevel="1">
      <c r="A83" s="18" t="s">
        <v>74</v>
      </c>
      <c r="B83" s="10" t="s">
        <v>5</v>
      </c>
      <c r="C83" s="10" t="s">
        <v>58</v>
      </c>
      <c r="D83" s="10" t="s">
        <v>75</v>
      </c>
      <c r="E83" s="10" t="s">
        <v>8</v>
      </c>
      <c r="F83" s="17">
        <f t="shared" si="12"/>
        <v>15473000</v>
      </c>
      <c r="G83" s="17">
        <f t="shared" si="12"/>
        <v>14767268.779999999</v>
      </c>
      <c r="H83" s="71">
        <f t="shared" si="11"/>
        <v>95.438950300523487</v>
      </c>
    </row>
    <row r="84" spans="1:8" outlineLevel="1">
      <c r="A84" s="9" t="s">
        <v>76</v>
      </c>
      <c r="B84" s="10" t="s">
        <v>5</v>
      </c>
      <c r="C84" s="10" t="s">
        <v>58</v>
      </c>
      <c r="D84" s="10" t="s">
        <v>77</v>
      </c>
      <c r="E84" s="10" t="s">
        <v>8</v>
      </c>
      <c r="F84" s="17">
        <f>F85+F87+F89</f>
        <v>15473000</v>
      </c>
      <c r="G84" s="17">
        <f>G85+G87+G89</f>
        <v>14767268.779999999</v>
      </c>
      <c r="H84" s="71">
        <f t="shared" si="11"/>
        <v>95.438950300523487</v>
      </c>
    </row>
    <row r="85" spans="1:8" ht="63" outlineLevel="1">
      <c r="A85" s="9" t="s">
        <v>17</v>
      </c>
      <c r="B85" s="10" t="s">
        <v>5</v>
      </c>
      <c r="C85" s="10" t="s">
        <v>58</v>
      </c>
      <c r="D85" s="10" t="s">
        <v>77</v>
      </c>
      <c r="E85" s="10" t="s">
        <v>18</v>
      </c>
      <c r="F85" s="17">
        <f>F86</f>
        <v>14973000</v>
      </c>
      <c r="G85" s="17">
        <f>G86</f>
        <v>14337989.35</v>
      </c>
      <c r="H85" s="71">
        <f t="shared" si="11"/>
        <v>95.758961797902884</v>
      </c>
    </row>
    <row r="86" spans="1:8" outlineLevel="1">
      <c r="A86" s="9" t="s">
        <v>78</v>
      </c>
      <c r="B86" s="10" t="s">
        <v>5</v>
      </c>
      <c r="C86" s="10" t="s">
        <v>58</v>
      </c>
      <c r="D86" s="10" t="s">
        <v>77</v>
      </c>
      <c r="E86" s="10" t="s">
        <v>79</v>
      </c>
      <c r="F86" s="17">
        <v>14973000</v>
      </c>
      <c r="G86" s="72">
        <v>14337989.35</v>
      </c>
      <c r="H86" s="71">
        <f t="shared" si="11"/>
        <v>95.758961797902884</v>
      </c>
    </row>
    <row r="87" spans="1:8" ht="31.5" outlineLevel="1">
      <c r="A87" s="9" t="s">
        <v>25</v>
      </c>
      <c r="B87" s="10" t="s">
        <v>5</v>
      </c>
      <c r="C87" s="10" t="s">
        <v>58</v>
      </c>
      <c r="D87" s="10" t="s">
        <v>77</v>
      </c>
      <c r="E87" s="10" t="s">
        <v>26</v>
      </c>
      <c r="F87" s="17">
        <f>F88</f>
        <v>494300</v>
      </c>
      <c r="G87" s="17">
        <f>G88</f>
        <v>423579.43</v>
      </c>
      <c r="H87" s="71">
        <f t="shared" si="11"/>
        <v>85.692783734574135</v>
      </c>
    </row>
    <row r="88" spans="1:8" ht="31.5" outlineLevel="1">
      <c r="A88" s="12" t="s">
        <v>27</v>
      </c>
      <c r="B88" s="13" t="s">
        <v>5</v>
      </c>
      <c r="C88" s="13" t="s">
        <v>58</v>
      </c>
      <c r="D88" s="13" t="s">
        <v>77</v>
      </c>
      <c r="E88" s="13" t="s">
        <v>28</v>
      </c>
      <c r="F88" s="16">
        <f>300000-5700+200000</f>
        <v>494300</v>
      </c>
      <c r="G88" s="72">
        <v>423579.43</v>
      </c>
      <c r="H88" s="71">
        <f t="shared" si="11"/>
        <v>85.692783734574135</v>
      </c>
    </row>
    <row r="89" spans="1:8" outlineLevel="1">
      <c r="A89" s="9" t="s">
        <v>35</v>
      </c>
      <c r="B89" s="10" t="s">
        <v>5</v>
      </c>
      <c r="C89" s="10" t="s">
        <v>58</v>
      </c>
      <c r="D89" s="10" t="s">
        <v>77</v>
      </c>
      <c r="E89" s="10" t="s">
        <v>36</v>
      </c>
      <c r="F89" s="17">
        <f>F90</f>
        <v>5700</v>
      </c>
      <c r="G89" s="17">
        <f>G90</f>
        <v>5700</v>
      </c>
      <c r="H89" s="71">
        <f t="shared" si="11"/>
        <v>100</v>
      </c>
    </row>
    <row r="90" spans="1:8" outlineLevel="1">
      <c r="A90" s="12" t="s">
        <v>37</v>
      </c>
      <c r="B90" s="13" t="s">
        <v>5</v>
      </c>
      <c r="C90" s="13" t="s">
        <v>58</v>
      </c>
      <c r="D90" s="13" t="s">
        <v>77</v>
      </c>
      <c r="E90" s="13" t="s">
        <v>38</v>
      </c>
      <c r="F90" s="16">
        <v>5700</v>
      </c>
      <c r="G90" s="16">
        <v>5700</v>
      </c>
      <c r="H90" s="71">
        <f t="shared" si="11"/>
        <v>100</v>
      </c>
    </row>
    <row r="91" spans="1:8" ht="31.5" outlineLevel="1">
      <c r="A91" s="18" t="s">
        <v>80</v>
      </c>
      <c r="B91" s="10" t="s">
        <v>5</v>
      </c>
      <c r="C91" s="10" t="s">
        <v>58</v>
      </c>
      <c r="D91" s="10" t="s">
        <v>81</v>
      </c>
      <c r="E91" s="10" t="s">
        <v>8</v>
      </c>
      <c r="F91" s="11">
        <f>F92</f>
        <v>4898871.29</v>
      </c>
      <c r="G91" s="11">
        <f>G92</f>
        <v>4898871.29</v>
      </c>
      <c r="H91" s="71">
        <f t="shared" si="11"/>
        <v>100</v>
      </c>
    </row>
    <row r="92" spans="1:8" ht="47.25" outlineLevel="1">
      <c r="A92" s="9" t="s">
        <v>82</v>
      </c>
      <c r="B92" s="10" t="s">
        <v>5</v>
      </c>
      <c r="C92" s="10" t="s">
        <v>58</v>
      </c>
      <c r="D92" s="10" t="s">
        <v>83</v>
      </c>
      <c r="E92" s="10" t="s">
        <v>8</v>
      </c>
      <c r="F92" s="11">
        <f>F93+F96</f>
        <v>4898871.29</v>
      </c>
      <c r="G92" s="11">
        <f>G93+G96</f>
        <v>4898871.29</v>
      </c>
      <c r="H92" s="71">
        <f t="shared" si="11"/>
        <v>100</v>
      </c>
    </row>
    <row r="93" spans="1:8" outlineLevel="1">
      <c r="A93" s="9" t="s">
        <v>84</v>
      </c>
      <c r="B93" s="10" t="s">
        <v>5</v>
      </c>
      <c r="C93" s="10" t="s">
        <v>58</v>
      </c>
      <c r="D93" s="10" t="s">
        <v>85</v>
      </c>
      <c r="E93" s="10" t="s">
        <v>8</v>
      </c>
      <c r="F93" s="17">
        <f t="shared" ref="F93:G94" si="13">F94</f>
        <v>85303</v>
      </c>
      <c r="G93" s="17">
        <f t="shared" si="13"/>
        <v>85303</v>
      </c>
      <c r="H93" s="71">
        <f t="shared" si="11"/>
        <v>100</v>
      </c>
    </row>
    <row r="94" spans="1:8" ht="31.5" outlineLevel="1">
      <c r="A94" s="9" t="s">
        <v>25</v>
      </c>
      <c r="B94" s="10" t="s">
        <v>5</v>
      </c>
      <c r="C94" s="10" t="s">
        <v>58</v>
      </c>
      <c r="D94" s="10" t="s">
        <v>85</v>
      </c>
      <c r="E94" s="10" t="s">
        <v>26</v>
      </c>
      <c r="F94" s="17">
        <f t="shared" si="13"/>
        <v>85303</v>
      </c>
      <c r="G94" s="17">
        <f t="shared" si="13"/>
        <v>85303</v>
      </c>
      <c r="H94" s="71">
        <f t="shared" si="11"/>
        <v>100</v>
      </c>
    </row>
    <row r="95" spans="1:8" ht="31.5" outlineLevel="1">
      <c r="A95" s="12" t="s">
        <v>71</v>
      </c>
      <c r="B95" s="13" t="s">
        <v>5</v>
      </c>
      <c r="C95" s="13" t="s">
        <v>58</v>
      </c>
      <c r="D95" s="13" t="s">
        <v>85</v>
      </c>
      <c r="E95" s="13" t="s">
        <v>28</v>
      </c>
      <c r="F95" s="16">
        <f>200000-100000-14697</f>
        <v>85303</v>
      </c>
      <c r="G95" s="16">
        <f>200000-100000-14697</f>
        <v>85303</v>
      </c>
      <c r="H95" s="71">
        <f t="shared" si="11"/>
        <v>100</v>
      </c>
    </row>
    <row r="96" spans="1:8" ht="47.25" outlineLevel="1">
      <c r="A96" s="9" t="s">
        <v>86</v>
      </c>
      <c r="B96" s="10" t="s">
        <v>5</v>
      </c>
      <c r="C96" s="10" t="s">
        <v>58</v>
      </c>
      <c r="D96" s="10" t="s">
        <v>87</v>
      </c>
      <c r="E96" s="10" t="s">
        <v>8</v>
      </c>
      <c r="F96" s="11">
        <f t="shared" ref="F96:G97" si="14">F97</f>
        <v>4813568.29</v>
      </c>
      <c r="G96" s="11">
        <f t="shared" si="14"/>
        <v>4813568.29</v>
      </c>
      <c r="H96" s="71">
        <f t="shared" si="11"/>
        <v>100</v>
      </c>
    </row>
    <row r="97" spans="1:8" ht="31.5" outlineLevel="1">
      <c r="A97" s="9" t="s">
        <v>25</v>
      </c>
      <c r="B97" s="10" t="s">
        <v>5</v>
      </c>
      <c r="C97" s="10" t="s">
        <v>58</v>
      </c>
      <c r="D97" s="10" t="s">
        <v>87</v>
      </c>
      <c r="E97" s="10" t="s">
        <v>26</v>
      </c>
      <c r="F97" s="11">
        <f t="shared" si="14"/>
        <v>4813568.29</v>
      </c>
      <c r="G97" s="11">
        <f t="shared" si="14"/>
        <v>4813568.29</v>
      </c>
      <c r="H97" s="71">
        <f t="shared" si="11"/>
        <v>100</v>
      </c>
    </row>
    <row r="98" spans="1:8" ht="31.5" outlineLevel="1">
      <c r="A98" s="12" t="s">
        <v>71</v>
      </c>
      <c r="B98" s="13" t="s">
        <v>5</v>
      </c>
      <c r="C98" s="13" t="s">
        <v>58</v>
      </c>
      <c r="D98" s="13" t="s">
        <v>87</v>
      </c>
      <c r="E98" s="13" t="s">
        <v>28</v>
      </c>
      <c r="F98" s="14">
        <f>1200000+1788700+200000+14697+1610171.29</f>
        <v>4813568.29</v>
      </c>
      <c r="G98" s="14">
        <f>1200000+1788700+200000+14697+1610171.29</f>
        <v>4813568.29</v>
      </c>
      <c r="H98" s="71">
        <f t="shared" si="11"/>
        <v>100</v>
      </c>
    </row>
    <row r="99" spans="1:8" ht="31.5" outlineLevel="1">
      <c r="A99" s="18" t="s">
        <v>88</v>
      </c>
      <c r="B99" s="10" t="s">
        <v>5</v>
      </c>
      <c r="C99" s="10" t="s">
        <v>58</v>
      </c>
      <c r="D99" s="10" t="s">
        <v>89</v>
      </c>
      <c r="E99" s="10" t="s">
        <v>8</v>
      </c>
      <c r="F99" s="17">
        <f>F100</f>
        <v>57796358.960000001</v>
      </c>
      <c r="G99" s="17">
        <f>G100</f>
        <v>54370229.170000002</v>
      </c>
      <c r="H99" s="71">
        <f t="shared" si="11"/>
        <v>94.072066386792343</v>
      </c>
    </row>
    <row r="100" spans="1:8" ht="35.25" customHeight="1" outlineLevel="1">
      <c r="A100" s="18" t="s">
        <v>90</v>
      </c>
      <c r="B100" s="10" t="s">
        <v>5</v>
      </c>
      <c r="C100" s="10" t="s">
        <v>58</v>
      </c>
      <c r="D100" s="10" t="s">
        <v>91</v>
      </c>
      <c r="E100" s="10" t="s">
        <v>8</v>
      </c>
      <c r="F100" s="17">
        <f>F101+F104+F107+F110+F113</f>
        <v>57796358.960000001</v>
      </c>
      <c r="G100" s="17">
        <f>G101+G104+G107+G110+G113</f>
        <v>54370229.170000002</v>
      </c>
      <c r="H100" s="71">
        <f t="shared" si="11"/>
        <v>94.072066386792343</v>
      </c>
    </row>
    <row r="101" spans="1:8" ht="49.5" customHeight="1" outlineLevel="1">
      <c r="A101" s="9" t="s">
        <v>92</v>
      </c>
      <c r="B101" s="10" t="s">
        <v>5</v>
      </c>
      <c r="C101" s="10" t="s">
        <v>58</v>
      </c>
      <c r="D101" s="10" t="s">
        <v>93</v>
      </c>
      <c r="E101" s="10" t="s">
        <v>8</v>
      </c>
      <c r="F101" s="19">
        <f t="shared" ref="F101:G102" si="15">F102</f>
        <v>385000</v>
      </c>
      <c r="G101" s="19">
        <f t="shared" si="15"/>
        <v>376420</v>
      </c>
      <c r="H101" s="71">
        <f t="shared" si="11"/>
        <v>97.771428571428572</v>
      </c>
    </row>
    <row r="102" spans="1:8" ht="31.5" outlineLevel="1">
      <c r="A102" s="9" t="s">
        <v>25</v>
      </c>
      <c r="B102" s="10" t="s">
        <v>5</v>
      </c>
      <c r="C102" s="10" t="s">
        <v>58</v>
      </c>
      <c r="D102" s="10" t="s">
        <v>93</v>
      </c>
      <c r="E102" s="10" t="s">
        <v>26</v>
      </c>
      <c r="F102" s="19">
        <f t="shared" si="15"/>
        <v>385000</v>
      </c>
      <c r="G102" s="19">
        <f t="shared" si="15"/>
        <v>376420</v>
      </c>
      <c r="H102" s="71">
        <f t="shared" si="11"/>
        <v>97.771428571428572</v>
      </c>
    </row>
    <row r="103" spans="1:8" ht="31.5" outlineLevel="1">
      <c r="A103" s="12" t="s">
        <v>27</v>
      </c>
      <c r="B103" s="13" t="s">
        <v>5</v>
      </c>
      <c r="C103" s="13" t="s">
        <v>58</v>
      </c>
      <c r="D103" s="13" t="s">
        <v>93</v>
      </c>
      <c r="E103" s="13" t="s">
        <v>28</v>
      </c>
      <c r="F103" s="20">
        <f>1500000-79023.75-320091-4010-322500-6000-383375.25</f>
        <v>385000</v>
      </c>
      <c r="G103" s="72">
        <v>376420</v>
      </c>
      <c r="H103" s="71">
        <f t="shared" si="11"/>
        <v>97.771428571428572</v>
      </c>
    </row>
    <row r="104" spans="1:8" ht="31.5" outlineLevel="1">
      <c r="A104" s="9" t="s">
        <v>94</v>
      </c>
      <c r="B104" s="10" t="s">
        <v>5</v>
      </c>
      <c r="C104" s="10" t="s">
        <v>58</v>
      </c>
      <c r="D104" s="10" t="s">
        <v>95</v>
      </c>
      <c r="E104" s="10" t="s">
        <v>8</v>
      </c>
      <c r="F104" s="19">
        <f t="shared" ref="F104:G105" si="16">F105</f>
        <v>1468203.96</v>
      </c>
      <c r="G104" s="19">
        <f t="shared" si="16"/>
        <v>1264544.52</v>
      </c>
      <c r="H104" s="71">
        <f t="shared" si="11"/>
        <v>86.128668390187428</v>
      </c>
    </row>
    <row r="105" spans="1:8" ht="31.5" outlineLevel="1">
      <c r="A105" s="9" t="s">
        <v>25</v>
      </c>
      <c r="B105" s="10" t="s">
        <v>5</v>
      </c>
      <c r="C105" s="10" t="s">
        <v>58</v>
      </c>
      <c r="D105" s="10" t="s">
        <v>95</v>
      </c>
      <c r="E105" s="10" t="s">
        <v>26</v>
      </c>
      <c r="F105" s="19">
        <f t="shared" si="16"/>
        <v>1468203.96</v>
      </c>
      <c r="G105" s="19">
        <f t="shared" si="16"/>
        <v>1264544.52</v>
      </c>
      <c r="H105" s="71">
        <f t="shared" si="11"/>
        <v>86.128668390187428</v>
      </c>
    </row>
    <row r="106" spans="1:8" ht="31.5" outlineLevel="1">
      <c r="A106" s="12" t="s">
        <v>71</v>
      </c>
      <c r="B106" s="13" t="s">
        <v>5</v>
      </c>
      <c r="C106" s="13" t="s">
        <v>58</v>
      </c>
      <c r="D106" s="13" t="s">
        <v>95</v>
      </c>
      <c r="E106" s="13" t="s">
        <v>28</v>
      </c>
      <c r="F106" s="20">
        <f>295000+3000000-600000-38250.09-24495.12-1164050.83</f>
        <v>1468203.96</v>
      </c>
      <c r="G106" s="72">
        <v>1264544.52</v>
      </c>
      <c r="H106" s="71">
        <f t="shared" si="11"/>
        <v>86.128668390187428</v>
      </c>
    </row>
    <row r="107" spans="1:8" outlineLevel="1">
      <c r="A107" s="9" t="s">
        <v>96</v>
      </c>
      <c r="B107" s="10" t="s">
        <v>5</v>
      </c>
      <c r="C107" s="10" t="s">
        <v>58</v>
      </c>
      <c r="D107" s="10" t="s">
        <v>97</v>
      </c>
      <c r="E107" s="10" t="s">
        <v>8</v>
      </c>
      <c r="F107" s="19">
        <f t="shared" ref="F107:G108" si="17">F108</f>
        <v>150000</v>
      </c>
      <c r="G107" s="19">
        <f t="shared" si="17"/>
        <v>8505.77</v>
      </c>
      <c r="H107" s="71">
        <f t="shared" si="11"/>
        <v>5.670513333333334</v>
      </c>
    </row>
    <row r="108" spans="1:8" outlineLevel="1">
      <c r="A108" s="9" t="s">
        <v>35</v>
      </c>
      <c r="B108" s="10" t="s">
        <v>5</v>
      </c>
      <c r="C108" s="10" t="s">
        <v>58</v>
      </c>
      <c r="D108" s="10" t="s">
        <v>97</v>
      </c>
      <c r="E108" s="10" t="s">
        <v>36</v>
      </c>
      <c r="F108" s="19">
        <f t="shared" si="17"/>
        <v>150000</v>
      </c>
      <c r="G108" s="19">
        <f t="shared" si="17"/>
        <v>8505.77</v>
      </c>
      <c r="H108" s="71">
        <f t="shared" si="11"/>
        <v>5.670513333333334</v>
      </c>
    </row>
    <row r="109" spans="1:8" outlineLevel="1">
      <c r="A109" s="9" t="s">
        <v>37</v>
      </c>
      <c r="B109" s="10" t="s">
        <v>5</v>
      </c>
      <c r="C109" s="10" t="s">
        <v>58</v>
      </c>
      <c r="D109" s="10" t="s">
        <v>97</v>
      </c>
      <c r="E109" s="10" t="s">
        <v>38</v>
      </c>
      <c r="F109" s="19">
        <v>150000</v>
      </c>
      <c r="G109" s="72">
        <v>8505.77</v>
      </c>
      <c r="H109" s="71">
        <f t="shared" si="11"/>
        <v>5.670513333333334</v>
      </c>
    </row>
    <row r="110" spans="1:8" outlineLevel="1">
      <c r="A110" s="9" t="s">
        <v>98</v>
      </c>
      <c r="B110" s="10" t="s">
        <v>5</v>
      </c>
      <c r="C110" s="10" t="s">
        <v>58</v>
      </c>
      <c r="D110" s="10" t="s">
        <v>99</v>
      </c>
      <c r="E110" s="10" t="s">
        <v>8</v>
      </c>
      <c r="F110" s="17">
        <f t="shared" ref="F110:G111" si="18">F111</f>
        <v>600000</v>
      </c>
      <c r="G110" s="17">
        <f t="shared" si="18"/>
        <v>295104.8</v>
      </c>
      <c r="H110" s="71">
        <f t="shared" si="11"/>
        <v>49.184133333333328</v>
      </c>
    </row>
    <row r="111" spans="1:8" ht="31.5" outlineLevel="1">
      <c r="A111" s="9" t="s">
        <v>25</v>
      </c>
      <c r="B111" s="10" t="s">
        <v>5</v>
      </c>
      <c r="C111" s="10" t="s">
        <v>58</v>
      </c>
      <c r="D111" s="10" t="s">
        <v>99</v>
      </c>
      <c r="E111" s="10" t="s">
        <v>26</v>
      </c>
      <c r="F111" s="17">
        <f t="shared" si="18"/>
        <v>600000</v>
      </c>
      <c r="G111" s="17">
        <f t="shared" si="18"/>
        <v>295104.8</v>
      </c>
      <c r="H111" s="71">
        <f t="shared" si="11"/>
        <v>49.184133333333328</v>
      </c>
    </row>
    <row r="112" spans="1:8" ht="31.5" outlineLevel="1">
      <c r="A112" s="9" t="s">
        <v>71</v>
      </c>
      <c r="B112" s="10" t="s">
        <v>5</v>
      </c>
      <c r="C112" s="10" t="s">
        <v>58</v>
      </c>
      <c r="D112" s="10" t="s">
        <v>99</v>
      </c>
      <c r="E112" s="10" t="s">
        <v>28</v>
      </c>
      <c r="F112" s="17">
        <v>600000</v>
      </c>
      <c r="G112" s="72">
        <v>295104.8</v>
      </c>
      <c r="H112" s="71">
        <f t="shared" si="11"/>
        <v>49.184133333333328</v>
      </c>
    </row>
    <row r="113" spans="1:8" ht="31.5" outlineLevel="1">
      <c r="A113" s="9" t="s">
        <v>100</v>
      </c>
      <c r="B113" s="10" t="s">
        <v>5</v>
      </c>
      <c r="C113" s="10" t="s">
        <v>58</v>
      </c>
      <c r="D113" s="10" t="s">
        <v>101</v>
      </c>
      <c r="E113" s="10" t="s">
        <v>8</v>
      </c>
      <c r="F113" s="17">
        <f>F114</f>
        <v>55193155</v>
      </c>
      <c r="G113" s="17">
        <f>G114</f>
        <v>52425654.079999998</v>
      </c>
      <c r="H113" s="71">
        <f t="shared" si="11"/>
        <v>94.985789596554142</v>
      </c>
    </row>
    <row r="114" spans="1:8" outlineLevel="1">
      <c r="A114" s="9" t="s">
        <v>102</v>
      </c>
      <c r="B114" s="10" t="s">
        <v>5</v>
      </c>
      <c r="C114" s="10" t="s">
        <v>58</v>
      </c>
      <c r="D114" s="10" t="s">
        <v>103</v>
      </c>
      <c r="E114" s="10" t="s">
        <v>8</v>
      </c>
      <c r="F114" s="17">
        <f>F115+F117+F119</f>
        <v>55193155</v>
      </c>
      <c r="G114" s="17">
        <f>G115+G117+G119</f>
        <v>52425654.079999998</v>
      </c>
      <c r="H114" s="71">
        <f t="shared" si="11"/>
        <v>94.985789596554142</v>
      </c>
    </row>
    <row r="115" spans="1:8" ht="63" outlineLevel="1">
      <c r="A115" s="9" t="s">
        <v>17</v>
      </c>
      <c r="B115" s="10" t="s">
        <v>5</v>
      </c>
      <c r="C115" s="10" t="s">
        <v>58</v>
      </c>
      <c r="D115" s="10" t="s">
        <v>103</v>
      </c>
      <c r="E115" s="10" t="s">
        <v>18</v>
      </c>
      <c r="F115" s="17">
        <f>F116</f>
        <v>38508660</v>
      </c>
      <c r="G115" s="17">
        <f>G116</f>
        <v>38478276.960000001</v>
      </c>
      <c r="H115" s="71">
        <f t="shared" si="11"/>
        <v>99.921100760192644</v>
      </c>
    </row>
    <row r="116" spans="1:8" outlineLevel="1">
      <c r="A116" s="9" t="s">
        <v>78</v>
      </c>
      <c r="B116" s="10" t="s">
        <v>5</v>
      </c>
      <c r="C116" s="10" t="s">
        <v>58</v>
      </c>
      <c r="D116" s="10" t="s">
        <v>103</v>
      </c>
      <c r="E116" s="10" t="s">
        <v>79</v>
      </c>
      <c r="F116" s="17">
        <f>28967001+5750100+3791559</f>
        <v>38508660</v>
      </c>
      <c r="G116" s="72">
        <v>38478276.960000001</v>
      </c>
      <c r="H116" s="71">
        <f t="shared" si="11"/>
        <v>99.921100760192644</v>
      </c>
    </row>
    <row r="117" spans="1:8" ht="31.5" outlineLevel="1">
      <c r="A117" s="9" t="s">
        <v>25</v>
      </c>
      <c r="B117" s="10" t="s">
        <v>5</v>
      </c>
      <c r="C117" s="10" t="s">
        <v>58</v>
      </c>
      <c r="D117" s="10" t="s">
        <v>103</v>
      </c>
      <c r="E117" s="10" t="s">
        <v>26</v>
      </c>
      <c r="F117" s="17">
        <f>F118</f>
        <v>16459495</v>
      </c>
      <c r="G117" s="17">
        <f>G118</f>
        <v>13905123.119999999</v>
      </c>
      <c r="H117" s="71">
        <f t="shared" si="11"/>
        <v>84.480861168583843</v>
      </c>
    </row>
    <row r="118" spans="1:8" ht="31.5" outlineLevel="1">
      <c r="A118" s="9" t="s">
        <v>27</v>
      </c>
      <c r="B118" s="10" t="s">
        <v>5</v>
      </c>
      <c r="C118" s="10" t="s">
        <v>58</v>
      </c>
      <c r="D118" s="10" t="s">
        <v>103</v>
      </c>
      <c r="E118" s="10" t="s">
        <v>28</v>
      </c>
      <c r="F118" s="17">
        <f>10800251+2000000+2500000+1159244</f>
        <v>16459495</v>
      </c>
      <c r="G118" s="72">
        <v>13905123.119999999</v>
      </c>
      <c r="H118" s="71">
        <f t="shared" si="11"/>
        <v>84.480861168583843</v>
      </c>
    </row>
    <row r="119" spans="1:8" outlineLevel="1">
      <c r="A119" s="9" t="s">
        <v>35</v>
      </c>
      <c r="B119" s="10" t="s">
        <v>5</v>
      </c>
      <c r="C119" s="10" t="s">
        <v>58</v>
      </c>
      <c r="D119" s="10" t="s">
        <v>103</v>
      </c>
      <c r="E119" s="10" t="s">
        <v>36</v>
      </c>
      <c r="F119" s="17">
        <f>F120</f>
        <v>225000</v>
      </c>
      <c r="G119" s="17">
        <f>G120</f>
        <v>42254</v>
      </c>
      <c r="H119" s="71">
        <f t="shared" si="11"/>
        <v>18.779555555555554</v>
      </c>
    </row>
    <row r="120" spans="1:8" outlineLevel="1">
      <c r="A120" s="9" t="s">
        <v>37</v>
      </c>
      <c r="B120" s="10" t="s">
        <v>5</v>
      </c>
      <c r="C120" s="10" t="s">
        <v>58</v>
      </c>
      <c r="D120" s="10" t="s">
        <v>103</v>
      </c>
      <c r="E120" s="10" t="s">
        <v>38</v>
      </c>
      <c r="F120" s="17">
        <v>225000</v>
      </c>
      <c r="G120" s="72">
        <v>42254</v>
      </c>
      <c r="H120" s="71">
        <f t="shared" si="11"/>
        <v>18.779555555555554</v>
      </c>
    </row>
    <row r="121" spans="1:8" ht="31.5" outlineLevel="1">
      <c r="A121" s="9" t="s">
        <v>104</v>
      </c>
      <c r="B121" s="10" t="s">
        <v>5</v>
      </c>
      <c r="C121" s="10" t="s">
        <v>58</v>
      </c>
      <c r="D121" s="10" t="s">
        <v>105</v>
      </c>
      <c r="E121" s="10" t="s">
        <v>8</v>
      </c>
      <c r="F121" s="17">
        <f t="shared" ref="F121:G124" si="19">F122</f>
        <v>105000</v>
      </c>
      <c r="G121" s="17">
        <f t="shared" si="19"/>
        <v>105000</v>
      </c>
      <c r="H121" s="71">
        <f t="shared" si="11"/>
        <v>100</v>
      </c>
    </row>
    <row r="122" spans="1:8" ht="47.25" outlineLevel="1">
      <c r="A122" s="9" t="s">
        <v>106</v>
      </c>
      <c r="B122" s="10" t="s">
        <v>5</v>
      </c>
      <c r="C122" s="10" t="s">
        <v>58</v>
      </c>
      <c r="D122" s="10" t="s">
        <v>107</v>
      </c>
      <c r="E122" s="10" t="s">
        <v>8</v>
      </c>
      <c r="F122" s="17">
        <f t="shared" si="19"/>
        <v>105000</v>
      </c>
      <c r="G122" s="17">
        <f t="shared" si="19"/>
        <v>105000</v>
      </c>
      <c r="H122" s="71">
        <f t="shared" si="11"/>
        <v>100</v>
      </c>
    </row>
    <row r="123" spans="1:8" ht="31.5" outlineLevel="1">
      <c r="A123" s="9" t="s">
        <v>108</v>
      </c>
      <c r="B123" s="10" t="s">
        <v>5</v>
      </c>
      <c r="C123" s="10" t="s">
        <v>58</v>
      </c>
      <c r="D123" s="10" t="s">
        <v>109</v>
      </c>
      <c r="E123" s="10" t="s">
        <v>8</v>
      </c>
      <c r="F123" s="17">
        <f t="shared" si="19"/>
        <v>105000</v>
      </c>
      <c r="G123" s="17">
        <f t="shared" si="19"/>
        <v>105000</v>
      </c>
      <c r="H123" s="71">
        <f t="shared" si="11"/>
        <v>100</v>
      </c>
    </row>
    <row r="124" spans="1:8" ht="31.5" outlineLevel="1">
      <c r="A124" s="9" t="s">
        <v>25</v>
      </c>
      <c r="B124" s="10" t="s">
        <v>5</v>
      </c>
      <c r="C124" s="10" t="s">
        <v>58</v>
      </c>
      <c r="D124" s="10" t="s">
        <v>109</v>
      </c>
      <c r="E124" s="10" t="s">
        <v>26</v>
      </c>
      <c r="F124" s="17">
        <f t="shared" si="19"/>
        <v>105000</v>
      </c>
      <c r="G124" s="17">
        <f t="shared" si="19"/>
        <v>105000</v>
      </c>
      <c r="H124" s="71">
        <f t="shared" si="11"/>
        <v>100</v>
      </c>
    </row>
    <row r="125" spans="1:8" ht="31.5" outlineLevel="1">
      <c r="A125" s="9" t="s">
        <v>27</v>
      </c>
      <c r="B125" s="10" t="s">
        <v>5</v>
      </c>
      <c r="C125" s="10" t="s">
        <v>58</v>
      </c>
      <c r="D125" s="10" t="s">
        <v>109</v>
      </c>
      <c r="E125" s="10" t="s">
        <v>28</v>
      </c>
      <c r="F125" s="17">
        <v>105000</v>
      </c>
      <c r="G125" s="17">
        <v>105000</v>
      </c>
      <c r="H125" s="71">
        <f t="shared" si="11"/>
        <v>100</v>
      </c>
    </row>
    <row r="126" spans="1:8" ht="47.25" outlineLevel="1">
      <c r="A126" s="9" t="s">
        <v>110</v>
      </c>
      <c r="B126" s="10" t="s">
        <v>5</v>
      </c>
      <c r="C126" s="10" t="s">
        <v>58</v>
      </c>
      <c r="D126" s="10" t="s">
        <v>111</v>
      </c>
      <c r="E126" s="10" t="s">
        <v>8</v>
      </c>
      <c r="F126" s="11">
        <f t="shared" ref="F126:G129" si="20">F127</f>
        <v>7500</v>
      </c>
      <c r="G126" s="11">
        <f t="shared" si="20"/>
        <v>7500</v>
      </c>
      <c r="H126" s="71">
        <f t="shared" si="11"/>
        <v>100</v>
      </c>
    </row>
    <row r="127" spans="1:8" ht="47.25" outlineLevel="1">
      <c r="A127" s="9" t="s">
        <v>112</v>
      </c>
      <c r="B127" s="10" t="s">
        <v>5</v>
      </c>
      <c r="C127" s="10" t="s">
        <v>58</v>
      </c>
      <c r="D127" s="10" t="s">
        <v>113</v>
      </c>
      <c r="E127" s="10" t="s">
        <v>8</v>
      </c>
      <c r="F127" s="11">
        <f t="shared" si="20"/>
        <v>7500</v>
      </c>
      <c r="G127" s="11">
        <f t="shared" si="20"/>
        <v>7500</v>
      </c>
      <c r="H127" s="71">
        <f t="shared" si="11"/>
        <v>100</v>
      </c>
    </row>
    <row r="128" spans="1:8" ht="31.5" outlineLevel="1">
      <c r="A128" s="9" t="s">
        <v>114</v>
      </c>
      <c r="B128" s="10" t="s">
        <v>5</v>
      </c>
      <c r="C128" s="10" t="s">
        <v>58</v>
      </c>
      <c r="D128" s="10" t="s">
        <v>115</v>
      </c>
      <c r="E128" s="10" t="s">
        <v>8</v>
      </c>
      <c r="F128" s="11">
        <f t="shared" si="20"/>
        <v>7500</v>
      </c>
      <c r="G128" s="11">
        <f t="shared" si="20"/>
        <v>7500</v>
      </c>
      <c r="H128" s="71">
        <f t="shared" si="11"/>
        <v>100</v>
      </c>
    </row>
    <row r="129" spans="1:8" ht="31.5" outlineLevel="1">
      <c r="A129" s="9" t="s">
        <v>25</v>
      </c>
      <c r="B129" s="10" t="s">
        <v>5</v>
      </c>
      <c r="C129" s="10" t="s">
        <v>58</v>
      </c>
      <c r="D129" s="10" t="s">
        <v>115</v>
      </c>
      <c r="E129" s="10" t="s">
        <v>26</v>
      </c>
      <c r="F129" s="11">
        <f t="shared" si="20"/>
        <v>7500</v>
      </c>
      <c r="G129" s="11">
        <f t="shared" si="20"/>
        <v>7500</v>
      </c>
      <c r="H129" s="71">
        <f t="shared" si="11"/>
        <v>100</v>
      </c>
    </row>
    <row r="130" spans="1:8" ht="31.5" outlineLevel="1">
      <c r="A130" s="9" t="s">
        <v>27</v>
      </c>
      <c r="B130" s="10" t="s">
        <v>5</v>
      </c>
      <c r="C130" s="10" t="s">
        <v>58</v>
      </c>
      <c r="D130" s="10" t="s">
        <v>115</v>
      </c>
      <c r="E130" s="10" t="s">
        <v>28</v>
      </c>
      <c r="F130" s="11">
        <v>7500</v>
      </c>
      <c r="G130" s="11">
        <v>7500</v>
      </c>
      <c r="H130" s="71">
        <f t="shared" si="11"/>
        <v>100</v>
      </c>
    </row>
    <row r="131" spans="1:8" ht="31.5" outlineLevel="1">
      <c r="A131" s="9" t="s">
        <v>116</v>
      </c>
      <c r="B131" s="10" t="s">
        <v>5</v>
      </c>
      <c r="C131" s="10" t="s">
        <v>58</v>
      </c>
      <c r="D131" s="10" t="s">
        <v>117</v>
      </c>
      <c r="E131" s="10" t="s">
        <v>8</v>
      </c>
      <c r="F131" s="11">
        <f t="shared" ref="F131:G134" si="21">F132</f>
        <v>170000</v>
      </c>
      <c r="G131" s="11">
        <f t="shared" si="21"/>
        <v>170000</v>
      </c>
      <c r="H131" s="71">
        <f t="shared" si="11"/>
        <v>100</v>
      </c>
    </row>
    <row r="132" spans="1:8" ht="31.5" outlineLevel="1">
      <c r="A132" s="9" t="s">
        <v>118</v>
      </c>
      <c r="B132" s="10" t="s">
        <v>5</v>
      </c>
      <c r="C132" s="10" t="s">
        <v>58</v>
      </c>
      <c r="D132" s="10" t="s">
        <v>119</v>
      </c>
      <c r="E132" s="10" t="s">
        <v>8</v>
      </c>
      <c r="F132" s="11">
        <f t="shared" si="21"/>
        <v>170000</v>
      </c>
      <c r="G132" s="11">
        <f t="shared" si="21"/>
        <v>170000</v>
      </c>
      <c r="H132" s="71">
        <f t="shared" si="11"/>
        <v>100</v>
      </c>
    </row>
    <row r="133" spans="1:8" ht="47.25" outlineLevel="1">
      <c r="A133" s="9" t="s">
        <v>120</v>
      </c>
      <c r="B133" s="10" t="s">
        <v>5</v>
      </c>
      <c r="C133" s="10" t="s">
        <v>58</v>
      </c>
      <c r="D133" s="10" t="s">
        <v>121</v>
      </c>
      <c r="E133" s="10" t="s">
        <v>8</v>
      </c>
      <c r="F133" s="11">
        <f t="shared" si="21"/>
        <v>170000</v>
      </c>
      <c r="G133" s="11">
        <f t="shared" si="21"/>
        <v>170000</v>
      </c>
      <c r="H133" s="71">
        <f t="shared" si="11"/>
        <v>100</v>
      </c>
    </row>
    <row r="134" spans="1:8" ht="31.5" outlineLevel="1">
      <c r="A134" s="9" t="s">
        <v>25</v>
      </c>
      <c r="B134" s="10" t="s">
        <v>5</v>
      </c>
      <c r="C134" s="10" t="s">
        <v>58</v>
      </c>
      <c r="D134" s="10" t="s">
        <v>121</v>
      </c>
      <c r="E134" s="10" t="s">
        <v>26</v>
      </c>
      <c r="F134" s="11">
        <f t="shared" si="21"/>
        <v>170000</v>
      </c>
      <c r="G134" s="11">
        <f t="shared" si="21"/>
        <v>170000</v>
      </c>
      <c r="H134" s="71">
        <f t="shared" si="11"/>
        <v>100</v>
      </c>
    </row>
    <row r="135" spans="1:8" ht="31.5" outlineLevel="1">
      <c r="A135" s="9" t="s">
        <v>27</v>
      </c>
      <c r="B135" s="10" t="s">
        <v>5</v>
      </c>
      <c r="C135" s="10" t="s">
        <v>58</v>
      </c>
      <c r="D135" s="10" t="s">
        <v>121</v>
      </c>
      <c r="E135" s="10" t="s">
        <v>28</v>
      </c>
      <c r="F135" s="11">
        <v>170000</v>
      </c>
      <c r="G135" s="11">
        <v>170000</v>
      </c>
      <c r="H135" s="71">
        <f t="shared" si="11"/>
        <v>100</v>
      </c>
    </row>
    <row r="136" spans="1:8" ht="47.25" outlineLevel="1">
      <c r="A136" s="21" t="s">
        <v>122</v>
      </c>
      <c r="B136" s="10" t="s">
        <v>5</v>
      </c>
      <c r="C136" s="10" t="s">
        <v>58</v>
      </c>
      <c r="D136" s="10" t="s">
        <v>123</v>
      </c>
      <c r="E136" s="10" t="s">
        <v>8</v>
      </c>
      <c r="F136" s="11">
        <f t="shared" ref="F136:G139" si="22">F137</f>
        <v>258800</v>
      </c>
      <c r="G136" s="11">
        <f t="shared" si="22"/>
        <v>258800</v>
      </c>
      <c r="H136" s="71">
        <f t="shared" si="11"/>
        <v>100</v>
      </c>
    </row>
    <row r="137" spans="1:8" ht="47.25" outlineLevel="1">
      <c r="A137" s="21" t="s">
        <v>124</v>
      </c>
      <c r="B137" s="10" t="s">
        <v>5</v>
      </c>
      <c r="C137" s="10" t="s">
        <v>58</v>
      </c>
      <c r="D137" s="10" t="s">
        <v>125</v>
      </c>
      <c r="E137" s="10" t="s">
        <v>8</v>
      </c>
      <c r="F137" s="11">
        <f t="shared" si="22"/>
        <v>258800</v>
      </c>
      <c r="G137" s="11">
        <f t="shared" si="22"/>
        <v>258800</v>
      </c>
      <c r="H137" s="71">
        <f t="shared" si="11"/>
        <v>100</v>
      </c>
    </row>
    <row r="138" spans="1:8" ht="47.25" outlineLevel="1">
      <c r="A138" s="22" t="s">
        <v>126</v>
      </c>
      <c r="B138" s="10" t="s">
        <v>5</v>
      </c>
      <c r="C138" s="10" t="s">
        <v>58</v>
      </c>
      <c r="D138" s="10" t="s">
        <v>127</v>
      </c>
      <c r="E138" s="10" t="s">
        <v>8</v>
      </c>
      <c r="F138" s="11">
        <f t="shared" si="22"/>
        <v>258800</v>
      </c>
      <c r="G138" s="11">
        <f t="shared" si="22"/>
        <v>258800</v>
      </c>
      <c r="H138" s="71">
        <f t="shared" si="11"/>
        <v>100</v>
      </c>
    </row>
    <row r="139" spans="1:8" ht="31.5" outlineLevel="1">
      <c r="A139" s="9" t="s">
        <v>25</v>
      </c>
      <c r="B139" s="10" t="s">
        <v>5</v>
      </c>
      <c r="C139" s="10" t="s">
        <v>58</v>
      </c>
      <c r="D139" s="10" t="s">
        <v>127</v>
      </c>
      <c r="E139" s="10" t="s">
        <v>26</v>
      </c>
      <c r="F139" s="11">
        <f t="shared" si="22"/>
        <v>258800</v>
      </c>
      <c r="G139" s="11">
        <f t="shared" si="22"/>
        <v>258800</v>
      </c>
      <c r="H139" s="71">
        <f t="shared" si="11"/>
        <v>100</v>
      </c>
    </row>
    <row r="140" spans="1:8" ht="31.5" outlineLevel="1">
      <c r="A140" s="12" t="s">
        <v>27</v>
      </c>
      <c r="B140" s="13" t="s">
        <v>5</v>
      </c>
      <c r="C140" s="13" t="s">
        <v>58</v>
      </c>
      <c r="D140" s="13" t="s">
        <v>127</v>
      </c>
      <c r="E140" s="13" t="s">
        <v>28</v>
      </c>
      <c r="F140" s="14">
        <f>300000-41200</f>
        <v>258800</v>
      </c>
      <c r="G140" s="14">
        <f>300000-41200</f>
        <v>258800</v>
      </c>
      <c r="H140" s="71">
        <f t="shared" ref="H140:H196" si="23">G140/F140*100</f>
        <v>100</v>
      </c>
    </row>
    <row r="141" spans="1:8" ht="78.75" outlineLevel="1">
      <c r="A141" s="21" t="s">
        <v>128</v>
      </c>
      <c r="B141" s="10" t="s">
        <v>5</v>
      </c>
      <c r="C141" s="10" t="s">
        <v>58</v>
      </c>
      <c r="D141" s="10" t="s">
        <v>129</v>
      </c>
      <c r="E141" s="10" t="s">
        <v>8</v>
      </c>
      <c r="F141" s="11">
        <f t="shared" ref="F141:G144" si="24">F142</f>
        <v>2116744.11</v>
      </c>
      <c r="G141" s="11">
        <f t="shared" si="24"/>
        <v>2116744.11</v>
      </c>
      <c r="H141" s="71">
        <f t="shared" si="23"/>
        <v>100</v>
      </c>
    </row>
    <row r="142" spans="1:8" ht="78.75" outlineLevel="1">
      <c r="A142" s="21" t="s">
        <v>130</v>
      </c>
      <c r="B142" s="10" t="s">
        <v>5</v>
      </c>
      <c r="C142" s="10" t="s">
        <v>58</v>
      </c>
      <c r="D142" s="10" t="s">
        <v>131</v>
      </c>
      <c r="E142" s="10" t="s">
        <v>8</v>
      </c>
      <c r="F142" s="11">
        <f t="shared" si="24"/>
        <v>2116744.11</v>
      </c>
      <c r="G142" s="11">
        <f t="shared" si="24"/>
        <v>2116744.11</v>
      </c>
      <c r="H142" s="71">
        <f t="shared" si="23"/>
        <v>100</v>
      </c>
    </row>
    <row r="143" spans="1:8" ht="47.25" outlineLevel="1">
      <c r="A143" s="21" t="s">
        <v>132</v>
      </c>
      <c r="B143" s="10" t="s">
        <v>5</v>
      </c>
      <c r="C143" s="10" t="s">
        <v>58</v>
      </c>
      <c r="D143" s="10" t="s">
        <v>133</v>
      </c>
      <c r="E143" s="10" t="s">
        <v>8</v>
      </c>
      <c r="F143" s="11">
        <f t="shared" si="24"/>
        <v>2116744.11</v>
      </c>
      <c r="G143" s="11">
        <f t="shared" si="24"/>
        <v>2116744.11</v>
      </c>
      <c r="H143" s="71">
        <f t="shared" si="23"/>
        <v>100</v>
      </c>
    </row>
    <row r="144" spans="1:8" ht="63" outlineLevel="1">
      <c r="A144" s="9" t="s">
        <v>17</v>
      </c>
      <c r="B144" s="10" t="s">
        <v>5</v>
      </c>
      <c r="C144" s="10" t="s">
        <v>58</v>
      </c>
      <c r="D144" s="10" t="s">
        <v>133</v>
      </c>
      <c r="E144" s="10" t="s">
        <v>18</v>
      </c>
      <c r="F144" s="11">
        <f t="shared" si="24"/>
        <v>2116744.11</v>
      </c>
      <c r="G144" s="11">
        <f t="shared" si="24"/>
        <v>2116744.11</v>
      </c>
      <c r="H144" s="71">
        <f t="shared" si="23"/>
        <v>100</v>
      </c>
    </row>
    <row r="145" spans="1:8" ht="31.5" outlineLevel="1">
      <c r="A145" s="12" t="s">
        <v>19</v>
      </c>
      <c r="B145" s="13" t="s">
        <v>5</v>
      </c>
      <c r="C145" s="13" t="s">
        <v>58</v>
      </c>
      <c r="D145" s="13" t="s">
        <v>133</v>
      </c>
      <c r="E145" s="13" t="s">
        <v>20</v>
      </c>
      <c r="F145" s="14">
        <f>862056+260341+516530.25+477816.86</f>
        <v>2116744.11</v>
      </c>
      <c r="G145" s="14">
        <f>862056+260341+516530.25+477816.86</f>
        <v>2116744.11</v>
      </c>
      <c r="H145" s="71">
        <f t="shared" si="23"/>
        <v>100</v>
      </c>
    </row>
    <row r="146" spans="1:8" ht="31.5" outlineLevel="1">
      <c r="A146" s="9" t="s">
        <v>134</v>
      </c>
      <c r="B146" s="10" t="s">
        <v>5</v>
      </c>
      <c r="C146" s="10" t="s">
        <v>58</v>
      </c>
      <c r="D146" s="10" t="s">
        <v>135</v>
      </c>
      <c r="E146" s="10" t="s">
        <v>8</v>
      </c>
      <c r="F146" s="11">
        <f t="shared" ref="F146:G147" si="25">F147</f>
        <v>37984915.759999998</v>
      </c>
      <c r="G146" s="11">
        <f t="shared" si="25"/>
        <v>36289788.340000004</v>
      </c>
      <c r="H146" s="71">
        <f t="shared" si="23"/>
        <v>95.537366909774619</v>
      </c>
    </row>
    <row r="147" spans="1:8" ht="31.5" outlineLevel="1">
      <c r="A147" s="9" t="s">
        <v>136</v>
      </c>
      <c r="B147" s="10" t="s">
        <v>5</v>
      </c>
      <c r="C147" s="10" t="s">
        <v>58</v>
      </c>
      <c r="D147" s="10" t="s">
        <v>137</v>
      </c>
      <c r="E147" s="10" t="s">
        <v>8</v>
      </c>
      <c r="F147" s="11">
        <f t="shared" si="25"/>
        <v>37984915.759999998</v>
      </c>
      <c r="G147" s="11">
        <f t="shared" si="25"/>
        <v>36289788.340000004</v>
      </c>
      <c r="H147" s="71">
        <f t="shared" si="23"/>
        <v>95.537366909774619</v>
      </c>
    </row>
    <row r="148" spans="1:8" outlineLevel="1">
      <c r="A148" s="9" t="s">
        <v>76</v>
      </c>
      <c r="B148" s="10" t="s">
        <v>5</v>
      </c>
      <c r="C148" s="10" t="s">
        <v>58</v>
      </c>
      <c r="D148" s="10" t="s">
        <v>138</v>
      </c>
      <c r="E148" s="10" t="s">
        <v>8</v>
      </c>
      <c r="F148" s="11">
        <f>F149+F151+F153</f>
        <v>37984915.759999998</v>
      </c>
      <c r="G148" s="11">
        <f>G149+G151+G153</f>
        <v>36289788.340000004</v>
      </c>
      <c r="H148" s="71">
        <f t="shared" si="23"/>
        <v>95.537366909774619</v>
      </c>
    </row>
    <row r="149" spans="1:8" ht="63" outlineLevel="1">
      <c r="A149" s="9" t="s">
        <v>17</v>
      </c>
      <c r="B149" s="10" t="s">
        <v>5</v>
      </c>
      <c r="C149" s="10" t="s">
        <v>58</v>
      </c>
      <c r="D149" s="10" t="s">
        <v>138</v>
      </c>
      <c r="E149" s="10" t="s">
        <v>18</v>
      </c>
      <c r="F149" s="11">
        <f>F150</f>
        <v>29502520</v>
      </c>
      <c r="G149" s="11">
        <f>G150</f>
        <v>29249906.41</v>
      </c>
      <c r="H149" s="71">
        <f t="shared" si="23"/>
        <v>99.143755889327423</v>
      </c>
    </row>
    <row r="150" spans="1:8" outlineLevel="1">
      <c r="A150" s="12" t="s">
        <v>78</v>
      </c>
      <c r="B150" s="13" t="s">
        <v>5</v>
      </c>
      <c r="C150" s="13" t="s">
        <v>58</v>
      </c>
      <c r="D150" s="13" t="s">
        <v>138</v>
      </c>
      <c r="E150" s="13" t="s">
        <v>79</v>
      </c>
      <c r="F150" s="14">
        <f>32498000+4520-3000000</f>
        <v>29502520</v>
      </c>
      <c r="G150" s="72">
        <v>29249906.41</v>
      </c>
      <c r="H150" s="71">
        <f t="shared" si="23"/>
        <v>99.143755889327423</v>
      </c>
    </row>
    <row r="151" spans="1:8" ht="31.5" outlineLevel="1">
      <c r="A151" s="9" t="s">
        <v>25</v>
      </c>
      <c r="B151" s="10" t="s">
        <v>5</v>
      </c>
      <c r="C151" s="10" t="s">
        <v>58</v>
      </c>
      <c r="D151" s="10" t="s">
        <v>138</v>
      </c>
      <c r="E151" s="10" t="s">
        <v>26</v>
      </c>
      <c r="F151" s="11">
        <f>F152</f>
        <v>7362395.7599999998</v>
      </c>
      <c r="G151" s="11">
        <f>G152</f>
        <v>5938581.9299999997</v>
      </c>
      <c r="H151" s="71">
        <f t="shared" si="23"/>
        <v>80.660998451949567</v>
      </c>
    </row>
    <row r="152" spans="1:8" ht="31.5" outlineLevel="1">
      <c r="A152" s="9" t="s">
        <v>27</v>
      </c>
      <c r="B152" s="10" t="s">
        <v>5</v>
      </c>
      <c r="C152" s="10" t="s">
        <v>58</v>
      </c>
      <c r="D152" s="10" t="s">
        <v>138</v>
      </c>
      <c r="E152" s="10" t="s">
        <v>28</v>
      </c>
      <c r="F152" s="23">
        <f>1000000+3000000-333084.24+1000000+2000000+200000-4520+500000</f>
        <v>7362395.7599999998</v>
      </c>
      <c r="G152" s="72">
        <v>5938581.9299999997</v>
      </c>
      <c r="H152" s="71">
        <f t="shared" si="23"/>
        <v>80.660998451949567</v>
      </c>
    </row>
    <row r="153" spans="1:8" outlineLevel="1">
      <c r="A153" s="9" t="s">
        <v>35</v>
      </c>
      <c r="B153" s="10" t="s">
        <v>5</v>
      </c>
      <c r="C153" s="10" t="s">
        <v>58</v>
      </c>
      <c r="D153" s="10" t="s">
        <v>138</v>
      </c>
      <c r="E153" s="10" t="s">
        <v>36</v>
      </c>
      <c r="F153" s="11">
        <f>F154</f>
        <v>1120000</v>
      </c>
      <c r="G153" s="11">
        <f>G154</f>
        <v>1101300</v>
      </c>
      <c r="H153" s="71">
        <f t="shared" si="23"/>
        <v>98.330357142857139</v>
      </c>
    </row>
    <row r="154" spans="1:8" outlineLevel="1">
      <c r="A154" s="9" t="s">
        <v>37</v>
      </c>
      <c r="B154" s="10" t="s">
        <v>5</v>
      </c>
      <c r="C154" s="10" t="s">
        <v>58</v>
      </c>
      <c r="D154" s="10" t="s">
        <v>138</v>
      </c>
      <c r="E154" s="10" t="s">
        <v>38</v>
      </c>
      <c r="F154" s="23">
        <f>20000+1100000</f>
        <v>1120000</v>
      </c>
      <c r="G154" s="72">
        <v>1101300</v>
      </c>
      <c r="H154" s="71">
        <f t="shared" si="23"/>
        <v>98.330357142857139</v>
      </c>
    </row>
    <row r="155" spans="1:8" ht="31.5" outlineLevel="1">
      <c r="A155" s="9" t="s">
        <v>11</v>
      </c>
      <c r="B155" s="10" t="s">
        <v>5</v>
      </c>
      <c r="C155" s="10" t="s">
        <v>58</v>
      </c>
      <c r="D155" s="10" t="s">
        <v>12</v>
      </c>
      <c r="E155" s="10" t="s">
        <v>8</v>
      </c>
      <c r="F155" s="11">
        <f>F156</f>
        <v>20806294.359999999</v>
      </c>
      <c r="G155" s="11">
        <f>G156</f>
        <v>19451703.600000001</v>
      </c>
      <c r="H155" s="71">
        <f t="shared" si="23"/>
        <v>93.489514583605086</v>
      </c>
    </row>
    <row r="156" spans="1:8" ht="31.5" outlineLevel="2">
      <c r="A156" s="9" t="s">
        <v>13</v>
      </c>
      <c r="B156" s="10" t="s">
        <v>5</v>
      </c>
      <c r="C156" s="10" t="s">
        <v>58</v>
      </c>
      <c r="D156" s="10" t="s">
        <v>14</v>
      </c>
      <c r="E156" s="10" t="s">
        <v>8</v>
      </c>
      <c r="F156" s="11">
        <f>F157+F160+F164+F174+F177+F182+F187+F192+F195+F200</f>
        <v>20806294.359999999</v>
      </c>
      <c r="G156" s="11">
        <f>G157+G160+G164+G174+G177+G182+G187+G192+G195+G200</f>
        <v>19451703.600000001</v>
      </c>
      <c r="H156" s="71">
        <f t="shared" si="23"/>
        <v>93.489514583605086</v>
      </c>
    </row>
    <row r="157" spans="1:8" ht="31.5" outlineLevel="2">
      <c r="A157" s="9" t="s">
        <v>139</v>
      </c>
      <c r="B157" s="10" t="s">
        <v>5</v>
      </c>
      <c r="C157" s="10" t="s">
        <v>58</v>
      </c>
      <c r="D157" s="10" t="s">
        <v>140</v>
      </c>
      <c r="E157" s="10" t="s">
        <v>8</v>
      </c>
      <c r="F157" s="19">
        <f t="shared" ref="F157:G158" si="26">F158</f>
        <v>465000</v>
      </c>
      <c r="G157" s="19">
        <f t="shared" si="26"/>
        <v>412530</v>
      </c>
      <c r="H157" s="71">
        <f t="shared" si="23"/>
        <v>88.716129032258067</v>
      </c>
    </row>
    <row r="158" spans="1:8" ht="31.5" outlineLevel="2">
      <c r="A158" s="9" t="s">
        <v>25</v>
      </c>
      <c r="B158" s="10" t="s">
        <v>5</v>
      </c>
      <c r="C158" s="10" t="s">
        <v>58</v>
      </c>
      <c r="D158" s="10" t="s">
        <v>140</v>
      </c>
      <c r="E158" s="10" t="s">
        <v>26</v>
      </c>
      <c r="F158" s="19">
        <f t="shared" si="26"/>
        <v>465000</v>
      </c>
      <c r="G158" s="19">
        <f t="shared" si="26"/>
        <v>412530</v>
      </c>
      <c r="H158" s="71">
        <f t="shared" si="23"/>
        <v>88.716129032258067</v>
      </c>
    </row>
    <row r="159" spans="1:8" ht="31.5" outlineLevel="2">
      <c r="A159" s="9" t="s">
        <v>27</v>
      </c>
      <c r="B159" s="10" t="s">
        <v>5</v>
      </c>
      <c r="C159" s="10" t="s">
        <v>58</v>
      </c>
      <c r="D159" s="10" t="s">
        <v>140</v>
      </c>
      <c r="E159" s="10" t="s">
        <v>28</v>
      </c>
      <c r="F159" s="19">
        <f>300000+165000</f>
        <v>465000</v>
      </c>
      <c r="G159" s="72">
        <v>412530</v>
      </c>
      <c r="H159" s="71">
        <f t="shared" si="23"/>
        <v>88.716129032258067</v>
      </c>
    </row>
    <row r="160" spans="1:8" ht="31.5" outlineLevel="2">
      <c r="A160" s="24" t="s">
        <v>141</v>
      </c>
      <c r="B160" s="10" t="s">
        <v>5</v>
      </c>
      <c r="C160" s="10" t="s">
        <v>58</v>
      </c>
      <c r="D160" s="10" t="s">
        <v>142</v>
      </c>
      <c r="E160" s="10" t="s">
        <v>8</v>
      </c>
      <c r="F160" s="19">
        <f>F161</f>
        <v>3143380.31</v>
      </c>
      <c r="G160" s="19">
        <f>G161</f>
        <v>3143377.9</v>
      </c>
      <c r="H160" s="71">
        <f t="shared" si="23"/>
        <v>99.999923330944313</v>
      </c>
    </row>
    <row r="161" spans="1:8" outlineLevel="2">
      <c r="A161" s="9" t="s">
        <v>35</v>
      </c>
      <c r="B161" s="10" t="s">
        <v>5</v>
      </c>
      <c r="C161" s="10" t="s">
        <v>58</v>
      </c>
      <c r="D161" s="10" t="s">
        <v>142</v>
      </c>
      <c r="E161" s="10" t="s">
        <v>36</v>
      </c>
      <c r="F161" s="19">
        <f>F162+F163</f>
        <v>3143380.31</v>
      </c>
      <c r="G161" s="19">
        <f>G162+G163</f>
        <v>3143377.9</v>
      </c>
      <c r="H161" s="71">
        <f t="shared" si="23"/>
        <v>99.999923330944313</v>
      </c>
    </row>
    <row r="162" spans="1:8" outlineLevel="2">
      <c r="A162" s="9" t="s">
        <v>143</v>
      </c>
      <c r="B162" s="10" t="s">
        <v>5</v>
      </c>
      <c r="C162" s="10" t="s">
        <v>58</v>
      </c>
      <c r="D162" s="10" t="s">
        <v>142</v>
      </c>
      <c r="E162" s="10" t="s">
        <v>144</v>
      </c>
      <c r="F162" s="19">
        <f>499520.31+2000000+273360</f>
        <v>2772880.31</v>
      </c>
      <c r="G162" s="72">
        <v>2772877.9</v>
      </c>
      <c r="H162" s="71">
        <f t="shared" si="23"/>
        <v>99.99991308676428</v>
      </c>
    </row>
    <row r="163" spans="1:8" outlineLevel="2">
      <c r="A163" s="12" t="s">
        <v>37</v>
      </c>
      <c r="B163" s="13" t="s">
        <v>5</v>
      </c>
      <c r="C163" s="13" t="s">
        <v>58</v>
      </c>
      <c r="D163" s="13" t="s">
        <v>142</v>
      </c>
      <c r="E163" s="13" t="s">
        <v>38</v>
      </c>
      <c r="F163" s="20">
        <f>20000+100000+200500+50000</f>
        <v>370500</v>
      </c>
      <c r="G163" s="20">
        <f>20000+100000+200500+50000</f>
        <v>370500</v>
      </c>
      <c r="H163" s="71">
        <f t="shared" si="23"/>
        <v>100</v>
      </c>
    </row>
    <row r="164" spans="1:8" outlineLevel="2">
      <c r="A164" s="24" t="s">
        <v>145</v>
      </c>
      <c r="B164" s="10" t="s">
        <v>5</v>
      </c>
      <c r="C164" s="10" t="s">
        <v>58</v>
      </c>
      <c r="D164" s="10" t="s">
        <v>146</v>
      </c>
      <c r="E164" s="10" t="s">
        <v>8</v>
      </c>
      <c r="F164" s="19">
        <f>F165+F167+F169+F171</f>
        <v>7028703.9699999997</v>
      </c>
      <c r="G164" s="19">
        <f>G165+G167+G169+G171</f>
        <v>6670024.3099999996</v>
      </c>
      <c r="H164" s="71">
        <f t="shared" si="23"/>
        <v>94.89693033693095</v>
      </c>
    </row>
    <row r="165" spans="1:8" ht="63" outlineLevel="2">
      <c r="A165" s="9" t="s">
        <v>17</v>
      </c>
      <c r="B165" s="10" t="s">
        <v>5</v>
      </c>
      <c r="C165" s="10" t="s">
        <v>58</v>
      </c>
      <c r="D165" s="10" t="s">
        <v>146</v>
      </c>
      <c r="E165" s="10" t="s">
        <v>18</v>
      </c>
      <c r="F165" s="19">
        <f>F166</f>
        <v>1085483.19</v>
      </c>
      <c r="G165" s="19">
        <f>G166</f>
        <v>962632.91</v>
      </c>
      <c r="H165" s="71">
        <f t="shared" si="23"/>
        <v>88.682433672694643</v>
      </c>
    </row>
    <row r="166" spans="1:8" ht="31.5" outlineLevel="2">
      <c r="A166" s="9" t="s">
        <v>19</v>
      </c>
      <c r="B166" s="10" t="s">
        <v>5</v>
      </c>
      <c r="C166" s="10" t="s">
        <v>58</v>
      </c>
      <c r="D166" s="10" t="s">
        <v>146</v>
      </c>
      <c r="E166" s="10" t="s">
        <v>20</v>
      </c>
      <c r="F166" s="19">
        <f>385483.19+700000</f>
        <v>1085483.19</v>
      </c>
      <c r="G166" s="72">
        <v>962632.91</v>
      </c>
      <c r="H166" s="71">
        <f t="shared" si="23"/>
        <v>88.682433672694643</v>
      </c>
    </row>
    <row r="167" spans="1:8" ht="31.5" outlineLevel="2">
      <c r="A167" s="9" t="s">
        <v>25</v>
      </c>
      <c r="B167" s="10" t="s">
        <v>5</v>
      </c>
      <c r="C167" s="10" t="s">
        <v>58</v>
      </c>
      <c r="D167" s="10" t="s">
        <v>146</v>
      </c>
      <c r="E167" s="10" t="s">
        <v>26</v>
      </c>
      <c r="F167" s="19">
        <f>F168</f>
        <v>4026335.56</v>
      </c>
      <c r="G167" s="19">
        <f>G168</f>
        <v>3791139.12</v>
      </c>
      <c r="H167" s="71">
        <f t="shared" si="23"/>
        <v>94.158548474285638</v>
      </c>
    </row>
    <row r="168" spans="1:8" ht="31.5" outlineLevel="2">
      <c r="A168" s="12" t="s">
        <v>27</v>
      </c>
      <c r="B168" s="13" t="s">
        <v>5</v>
      </c>
      <c r="C168" s="13" t="s">
        <v>58</v>
      </c>
      <c r="D168" s="13" t="s">
        <v>146</v>
      </c>
      <c r="E168" s="13" t="s">
        <v>28</v>
      </c>
      <c r="F168" s="20">
        <f>3000000+2824230.9-385483.19-70000-700000-100000-1000-541412.15</f>
        <v>4026335.56</v>
      </c>
      <c r="G168" s="72">
        <v>3791139.12</v>
      </c>
      <c r="H168" s="71">
        <f t="shared" si="23"/>
        <v>94.158548474285638</v>
      </c>
    </row>
    <row r="169" spans="1:8" outlineLevel="2">
      <c r="A169" s="9" t="s">
        <v>29</v>
      </c>
      <c r="B169" s="10" t="s">
        <v>5</v>
      </c>
      <c r="C169" s="10" t="s">
        <v>58</v>
      </c>
      <c r="D169" s="10" t="s">
        <v>146</v>
      </c>
      <c r="E169" s="10" t="s">
        <v>30</v>
      </c>
      <c r="F169" s="19">
        <f>F170</f>
        <v>1745885.22</v>
      </c>
      <c r="G169" s="19">
        <f>G170</f>
        <v>1745885.22</v>
      </c>
      <c r="H169" s="71">
        <f t="shared" si="23"/>
        <v>100</v>
      </c>
    </row>
    <row r="170" spans="1:8" ht="31.5" outlineLevel="2">
      <c r="A170" s="12" t="s">
        <v>31</v>
      </c>
      <c r="B170" s="13" t="s">
        <v>5</v>
      </c>
      <c r="C170" s="13" t="s">
        <v>58</v>
      </c>
      <c r="D170" s="13" t="s">
        <v>146</v>
      </c>
      <c r="E170" s="13" t="s">
        <v>32</v>
      </c>
      <c r="F170" s="20">
        <f>2000000-200500-53614.78</f>
        <v>1745885.22</v>
      </c>
      <c r="G170" s="20">
        <f>2000000-200500-53614.78</f>
        <v>1745885.22</v>
      </c>
      <c r="H170" s="71">
        <f t="shared" si="23"/>
        <v>100</v>
      </c>
    </row>
    <row r="171" spans="1:8" outlineLevel="2">
      <c r="A171" s="9" t="s">
        <v>35</v>
      </c>
      <c r="B171" s="10" t="s">
        <v>5</v>
      </c>
      <c r="C171" s="10" t="s">
        <v>58</v>
      </c>
      <c r="D171" s="10" t="s">
        <v>146</v>
      </c>
      <c r="E171" s="10" t="s">
        <v>36</v>
      </c>
      <c r="F171" s="19">
        <f>F172+F173</f>
        <v>171000</v>
      </c>
      <c r="G171" s="19">
        <f>G172+G173</f>
        <v>170367.06</v>
      </c>
      <c r="H171" s="71">
        <f t="shared" si="23"/>
        <v>99.629859649122807</v>
      </c>
    </row>
    <row r="172" spans="1:8" outlineLevel="2">
      <c r="A172" s="12" t="s">
        <v>143</v>
      </c>
      <c r="B172" s="13" t="s">
        <v>5</v>
      </c>
      <c r="C172" s="13" t="s">
        <v>58</v>
      </c>
      <c r="D172" s="13" t="s">
        <v>146</v>
      </c>
      <c r="E172" s="13" t="s">
        <v>144</v>
      </c>
      <c r="F172" s="20">
        <v>1000</v>
      </c>
      <c r="G172" s="20">
        <v>1000</v>
      </c>
      <c r="H172" s="71">
        <f t="shared" si="23"/>
        <v>100</v>
      </c>
    </row>
    <row r="173" spans="1:8" outlineLevel="2">
      <c r="A173" s="9" t="s">
        <v>37</v>
      </c>
      <c r="B173" s="10" t="s">
        <v>5</v>
      </c>
      <c r="C173" s="10" t="s">
        <v>58</v>
      </c>
      <c r="D173" s="10" t="s">
        <v>146</v>
      </c>
      <c r="E173" s="10" t="s">
        <v>38</v>
      </c>
      <c r="F173" s="19">
        <f>70000+100000</f>
        <v>170000</v>
      </c>
      <c r="G173" s="72">
        <v>169367.06</v>
      </c>
      <c r="H173" s="71">
        <f t="shared" si="23"/>
        <v>99.627682352941179</v>
      </c>
    </row>
    <row r="174" spans="1:8" ht="31.5" outlineLevel="3">
      <c r="A174" s="9" t="s">
        <v>147</v>
      </c>
      <c r="B174" s="10" t="s">
        <v>5</v>
      </c>
      <c r="C174" s="10" t="s">
        <v>58</v>
      </c>
      <c r="D174" s="10" t="s">
        <v>148</v>
      </c>
      <c r="E174" s="10" t="s">
        <v>8</v>
      </c>
      <c r="F174" s="11">
        <f t="shared" ref="F174:G175" si="27">F175</f>
        <v>1447646</v>
      </c>
      <c r="G174" s="11">
        <f t="shared" si="27"/>
        <v>1447646</v>
      </c>
      <c r="H174" s="71">
        <f t="shared" si="23"/>
        <v>100</v>
      </c>
    </row>
    <row r="175" spans="1:8" ht="63" outlineLevel="3">
      <c r="A175" s="9" t="s">
        <v>17</v>
      </c>
      <c r="B175" s="10" t="s">
        <v>5</v>
      </c>
      <c r="C175" s="10" t="s">
        <v>58</v>
      </c>
      <c r="D175" s="10" t="s">
        <v>148</v>
      </c>
      <c r="E175" s="10" t="s">
        <v>18</v>
      </c>
      <c r="F175" s="11">
        <f t="shared" si="27"/>
        <v>1447646</v>
      </c>
      <c r="G175" s="11">
        <f t="shared" si="27"/>
        <v>1447646</v>
      </c>
      <c r="H175" s="71">
        <f t="shared" si="23"/>
        <v>100</v>
      </c>
    </row>
    <row r="176" spans="1:8" ht="31.5" outlineLevel="5">
      <c r="A176" s="9" t="s">
        <v>19</v>
      </c>
      <c r="B176" s="10" t="s">
        <v>5</v>
      </c>
      <c r="C176" s="10" t="s">
        <v>58</v>
      </c>
      <c r="D176" s="10" t="s">
        <v>148</v>
      </c>
      <c r="E176" s="10" t="s">
        <v>20</v>
      </c>
      <c r="F176" s="11">
        <f>1532764-85118</f>
        <v>1447646</v>
      </c>
      <c r="G176" s="11">
        <f>1532764-85118</f>
        <v>1447646</v>
      </c>
      <c r="H176" s="71">
        <f t="shared" si="23"/>
        <v>100</v>
      </c>
    </row>
    <row r="177" spans="1:8" ht="31.5" outlineLevel="5">
      <c r="A177" s="9" t="s">
        <v>149</v>
      </c>
      <c r="B177" s="10" t="s">
        <v>5</v>
      </c>
      <c r="C177" s="10" t="s">
        <v>58</v>
      </c>
      <c r="D177" s="10" t="s">
        <v>150</v>
      </c>
      <c r="E177" s="10" t="s">
        <v>8</v>
      </c>
      <c r="F177" s="11">
        <f>F178+F180</f>
        <v>1673105</v>
      </c>
      <c r="G177" s="11">
        <f>G178+G180</f>
        <v>1673105</v>
      </c>
      <c r="H177" s="71">
        <f t="shared" si="23"/>
        <v>100</v>
      </c>
    </row>
    <row r="178" spans="1:8" ht="63" outlineLevel="5">
      <c r="A178" s="9" t="s">
        <v>17</v>
      </c>
      <c r="B178" s="10" t="s">
        <v>5</v>
      </c>
      <c r="C178" s="10" t="s">
        <v>58</v>
      </c>
      <c r="D178" s="10" t="s">
        <v>150</v>
      </c>
      <c r="E178" s="10" t="s">
        <v>18</v>
      </c>
      <c r="F178" s="11">
        <f>F179</f>
        <v>1600820</v>
      </c>
      <c r="G178" s="11">
        <f>G179</f>
        <v>1600820</v>
      </c>
      <c r="H178" s="71">
        <f t="shared" si="23"/>
        <v>100</v>
      </c>
    </row>
    <row r="179" spans="1:8" ht="31.5" outlineLevel="3">
      <c r="A179" s="9" t="s">
        <v>19</v>
      </c>
      <c r="B179" s="10" t="s">
        <v>5</v>
      </c>
      <c r="C179" s="10" t="s">
        <v>58</v>
      </c>
      <c r="D179" s="10" t="s">
        <v>150</v>
      </c>
      <c r="E179" s="10" t="s">
        <v>20</v>
      </c>
      <c r="F179" s="11">
        <v>1600820</v>
      </c>
      <c r="G179" s="11">
        <v>1600820</v>
      </c>
      <c r="H179" s="71">
        <f t="shared" si="23"/>
        <v>100</v>
      </c>
    </row>
    <row r="180" spans="1:8" ht="31.5" outlineLevel="3">
      <c r="A180" s="9" t="s">
        <v>25</v>
      </c>
      <c r="B180" s="10" t="s">
        <v>5</v>
      </c>
      <c r="C180" s="10" t="s">
        <v>58</v>
      </c>
      <c r="D180" s="10" t="s">
        <v>150</v>
      </c>
      <c r="E180" s="10" t="s">
        <v>26</v>
      </c>
      <c r="F180" s="11">
        <f>F181</f>
        <v>72285</v>
      </c>
      <c r="G180" s="11">
        <f>G181</f>
        <v>72285</v>
      </c>
      <c r="H180" s="71">
        <f t="shared" si="23"/>
        <v>100</v>
      </c>
    </row>
    <row r="181" spans="1:8" ht="31.5" outlineLevel="3">
      <c r="A181" s="9" t="s">
        <v>27</v>
      </c>
      <c r="B181" s="10" t="s">
        <v>5</v>
      </c>
      <c r="C181" s="10" t="s">
        <v>58</v>
      </c>
      <c r="D181" s="10" t="s">
        <v>150</v>
      </c>
      <c r="E181" s="10" t="s">
        <v>28</v>
      </c>
      <c r="F181" s="11">
        <f>100000-27715</f>
        <v>72285</v>
      </c>
      <c r="G181" s="11">
        <f>100000-27715</f>
        <v>72285</v>
      </c>
      <c r="H181" s="71">
        <f t="shared" si="23"/>
        <v>100</v>
      </c>
    </row>
    <row r="182" spans="1:8" ht="31.5" outlineLevel="3">
      <c r="A182" s="9" t="s">
        <v>151</v>
      </c>
      <c r="B182" s="10" t="s">
        <v>5</v>
      </c>
      <c r="C182" s="10" t="s">
        <v>58</v>
      </c>
      <c r="D182" s="10" t="s">
        <v>152</v>
      </c>
      <c r="E182" s="10" t="s">
        <v>8</v>
      </c>
      <c r="F182" s="11">
        <f>F183+F185</f>
        <v>1241409</v>
      </c>
      <c r="G182" s="11">
        <f>G183+G185</f>
        <v>1241409</v>
      </c>
      <c r="H182" s="71">
        <f t="shared" si="23"/>
        <v>100</v>
      </c>
    </row>
    <row r="183" spans="1:8" ht="63" outlineLevel="3">
      <c r="A183" s="9" t="s">
        <v>17</v>
      </c>
      <c r="B183" s="10" t="s">
        <v>5</v>
      </c>
      <c r="C183" s="10" t="s">
        <v>58</v>
      </c>
      <c r="D183" s="10" t="s">
        <v>152</v>
      </c>
      <c r="E183" s="10" t="s">
        <v>18</v>
      </c>
      <c r="F183" s="11">
        <f>F184</f>
        <v>1178217</v>
      </c>
      <c r="G183" s="11">
        <f>G184</f>
        <v>1178217</v>
      </c>
      <c r="H183" s="71">
        <f t="shared" si="23"/>
        <v>100</v>
      </c>
    </row>
    <row r="184" spans="1:8" ht="31.5" outlineLevel="3">
      <c r="A184" s="9" t="s">
        <v>19</v>
      </c>
      <c r="B184" s="10" t="s">
        <v>5</v>
      </c>
      <c r="C184" s="10" t="s">
        <v>58</v>
      </c>
      <c r="D184" s="10" t="s">
        <v>152</v>
      </c>
      <c r="E184" s="10" t="s">
        <v>20</v>
      </c>
      <c r="F184" s="11">
        <v>1178217</v>
      </c>
      <c r="G184" s="11">
        <v>1178217</v>
      </c>
      <c r="H184" s="71">
        <f t="shared" si="23"/>
        <v>100</v>
      </c>
    </row>
    <row r="185" spans="1:8" ht="31.5" outlineLevel="3">
      <c r="A185" s="9" t="s">
        <v>25</v>
      </c>
      <c r="B185" s="10" t="s">
        <v>5</v>
      </c>
      <c r="C185" s="10" t="s">
        <v>58</v>
      </c>
      <c r="D185" s="10" t="s">
        <v>152</v>
      </c>
      <c r="E185" s="10" t="s">
        <v>26</v>
      </c>
      <c r="F185" s="11">
        <f>F186</f>
        <v>63192</v>
      </c>
      <c r="G185" s="11">
        <f>G186</f>
        <v>63192</v>
      </c>
      <c r="H185" s="71">
        <f t="shared" si="23"/>
        <v>100</v>
      </c>
    </row>
    <row r="186" spans="1:8" ht="31.5" outlineLevel="3">
      <c r="A186" s="9" t="s">
        <v>27</v>
      </c>
      <c r="B186" s="10" t="s">
        <v>5</v>
      </c>
      <c r="C186" s="10" t="s">
        <v>58</v>
      </c>
      <c r="D186" s="10" t="s">
        <v>152</v>
      </c>
      <c r="E186" s="10" t="s">
        <v>28</v>
      </c>
      <c r="F186" s="11">
        <v>63192</v>
      </c>
      <c r="G186" s="11">
        <v>63192</v>
      </c>
      <c r="H186" s="71">
        <f t="shared" si="23"/>
        <v>100</v>
      </c>
    </row>
    <row r="187" spans="1:8" ht="31.5" outlineLevel="3">
      <c r="A187" s="9" t="s">
        <v>153</v>
      </c>
      <c r="B187" s="10" t="s">
        <v>5</v>
      </c>
      <c r="C187" s="10" t="s">
        <v>58</v>
      </c>
      <c r="D187" s="10" t="s">
        <v>154</v>
      </c>
      <c r="E187" s="10" t="s">
        <v>8</v>
      </c>
      <c r="F187" s="11">
        <f>F188+F190</f>
        <v>1208033</v>
      </c>
      <c r="G187" s="11">
        <f>G188+G190</f>
        <v>267981.39</v>
      </c>
      <c r="H187" s="71">
        <f t="shared" si="23"/>
        <v>22.183283900357029</v>
      </c>
    </row>
    <row r="188" spans="1:8" ht="63" outlineLevel="3">
      <c r="A188" s="9" t="s">
        <v>17</v>
      </c>
      <c r="B188" s="10" t="s">
        <v>5</v>
      </c>
      <c r="C188" s="10" t="s">
        <v>58</v>
      </c>
      <c r="D188" s="10" t="s">
        <v>154</v>
      </c>
      <c r="E188" s="10" t="s">
        <v>18</v>
      </c>
      <c r="F188" s="11">
        <f>F189</f>
        <v>828565</v>
      </c>
      <c r="G188" s="11">
        <f>G189</f>
        <v>267981.39</v>
      </c>
      <c r="H188" s="71">
        <f t="shared" si="23"/>
        <v>32.342832487493439</v>
      </c>
    </row>
    <row r="189" spans="1:8" ht="31.5" outlineLevel="3">
      <c r="A189" s="9" t="s">
        <v>19</v>
      </c>
      <c r="B189" s="10" t="s">
        <v>5</v>
      </c>
      <c r="C189" s="10" t="s">
        <v>58</v>
      </c>
      <c r="D189" s="10" t="s">
        <v>154</v>
      </c>
      <c r="E189" s="10" t="s">
        <v>20</v>
      </c>
      <c r="F189" s="11">
        <v>828565</v>
      </c>
      <c r="G189" s="72">
        <v>267981.39</v>
      </c>
      <c r="H189" s="71">
        <f t="shared" si="23"/>
        <v>32.342832487493439</v>
      </c>
    </row>
    <row r="190" spans="1:8" ht="31.5" outlineLevel="3">
      <c r="A190" s="9" t="s">
        <v>25</v>
      </c>
      <c r="B190" s="10" t="s">
        <v>5</v>
      </c>
      <c r="C190" s="10" t="s">
        <v>58</v>
      </c>
      <c r="D190" s="10" t="s">
        <v>154</v>
      </c>
      <c r="E190" s="10" t="s">
        <v>26</v>
      </c>
      <c r="F190" s="11">
        <f>F191</f>
        <v>379468</v>
      </c>
      <c r="G190" s="11">
        <f>G191</f>
        <v>0</v>
      </c>
      <c r="H190" s="71">
        <f t="shared" si="23"/>
        <v>0</v>
      </c>
    </row>
    <row r="191" spans="1:8" ht="31.5" outlineLevel="3">
      <c r="A191" s="9" t="s">
        <v>27</v>
      </c>
      <c r="B191" s="10" t="s">
        <v>5</v>
      </c>
      <c r="C191" s="10" t="s">
        <v>58</v>
      </c>
      <c r="D191" s="10" t="s">
        <v>154</v>
      </c>
      <c r="E191" s="10" t="s">
        <v>28</v>
      </c>
      <c r="F191" s="11">
        <f>390908-11440</f>
        <v>379468</v>
      </c>
      <c r="G191" s="11">
        <v>0</v>
      </c>
      <c r="H191" s="71">
        <f t="shared" si="23"/>
        <v>0</v>
      </c>
    </row>
    <row r="192" spans="1:8" ht="47.25" outlineLevel="3">
      <c r="A192" s="25" t="s">
        <v>155</v>
      </c>
      <c r="B192" s="10" t="s">
        <v>5</v>
      </c>
      <c r="C192" s="10" t="s">
        <v>58</v>
      </c>
      <c r="D192" s="10" t="s">
        <v>156</v>
      </c>
      <c r="E192" s="10" t="s">
        <v>8</v>
      </c>
      <c r="F192" s="11">
        <f t="shared" ref="F192:G193" si="28">F193</f>
        <v>3387.08</v>
      </c>
      <c r="G192" s="11">
        <f t="shared" si="28"/>
        <v>0</v>
      </c>
      <c r="H192" s="71">
        <f t="shared" si="23"/>
        <v>0</v>
      </c>
    </row>
    <row r="193" spans="1:8" ht="63" outlineLevel="3">
      <c r="A193" s="9" t="s">
        <v>17</v>
      </c>
      <c r="B193" s="10" t="s">
        <v>5</v>
      </c>
      <c r="C193" s="10" t="s">
        <v>58</v>
      </c>
      <c r="D193" s="10" t="s">
        <v>156</v>
      </c>
      <c r="E193" s="10" t="s">
        <v>18</v>
      </c>
      <c r="F193" s="11">
        <f t="shared" si="28"/>
        <v>3387.08</v>
      </c>
      <c r="G193" s="11">
        <f t="shared" si="28"/>
        <v>0</v>
      </c>
      <c r="H193" s="71">
        <f t="shared" si="23"/>
        <v>0</v>
      </c>
    </row>
    <row r="194" spans="1:8" ht="31.5" outlineLevel="3">
      <c r="A194" s="9" t="s">
        <v>19</v>
      </c>
      <c r="B194" s="10" t="s">
        <v>5</v>
      </c>
      <c r="C194" s="10" t="s">
        <v>58</v>
      </c>
      <c r="D194" s="10" t="s">
        <v>156</v>
      </c>
      <c r="E194" s="10" t="s">
        <v>20</v>
      </c>
      <c r="F194" s="11">
        <v>3387.08</v>
      </c>
      <c r="G194" s="11">
        <v>0</v>
      </c>
      <c r="H194" s="71">
        <f t="shared" si="23"/>
        <v>0</v>
      </c>
    </row>
    <row r="195" spans="1:8" ht="31.5" outlineLevel="3">
      <c r="A195" s="9" t="s">
        <v>157</v>
      </c>
      <c r="B195" s="10" t="s">
        <v>5</v>
      </c>
      <c r="C195" s="10" t="s">
        <v>58</v>
      </c>
      <c r="D195" s="10" t="s">
        <v>158</v>
      </c>
      <c r="E195" s="10" t="s">
        <v>8</v>
      </c>
      <c r="F195" s="11">
        <f>F196+F198</f>
        <v>3874325</v>
      </c>
      <c r="G195" s="11">
        <f>G196+G198</f>
        <v>3874325</v>
      </c>
      <c r="H195" s="71">
        <f t="shared" si="23"/>
        <v>100</v>
      </c>
    </row>
    <row r="196" spans="1:8" ht="63" outlineLevel="3">
      <c r="A196" s="9" t="s">
        <v>17</v>
      </c>
      <c r="B196" s="10" t="s">
        <v>5</v>
      </c>
      <c r="C196" s="10" t="s">
        <v>58</v>
      </c>
      <c r="D196" s="10" t="s">
        <v>158</v>
      </c>
      <c r="E196" s="10" t="s">
        <v>18</v>
      </c>
      <c r="F196" s="11">
        <f>F197</f>
        <v>3636885</v>
      </c>
      <c r="G196" s="11">
        <f>G197</f>
        <v>3636885</v>
      </c>
      <c r="H196" s="71">
        <f t="shared" si="23"/>
        <v>100</v>
      </c>
    </row>
    <row r="197" spans="1:8" ht="31.5" outlineLevel="3">
      <c r="A197" s="12" t="s">
        <v>19</v>
      </c>
      <c r="B197" s="13" t="s">
        <v>5</v>
      </c>
      <c r="C197" s="13" t="s">
        <v>58</v>
      </c>
      <c r="D197" s="13" t="s">
        <v>158</v>
      </c>
      <c r="E197" s="13" t="s">
        <v>20</v>
      </c>
      <c r="F197" s="14">
        <f>2846081+790804</f>
        <v>3636885</v>
      </c>
      <c r="G197" s="14">
        <f>2846081+790804</f>
        <v>3636885</v>
      </c>
      <c r="H197" s="71">
        <f t="shared" ref="H197:H260" si="29">G197/F197*100</f>
        <v>100</v>
      </c>
    </row>
    <row r="198" spans="1:8" ht="31.5" outlineLevel="3">
      <c r="A198" s="9" t="s">
        <v>25</v>
      </c>
      <c r="B198" s="10" t="s">
        <v>5</v>
      </c>
      <c r="C198" s="10" t="s">
        <v>58</v>
      </c>
      <c r="D198" s="10" t="s">
        <v>158</v>
      </c>
      <c r="E198" s="10" t="s">
        <v>26</v>
      </c>
      <c r="F198" s="11">
        <f>F199</f>
        <v>237440</v>
      </c>
      <c r="G198" s="11">
        <f>G199</f>
        <v>237440</v>
      </c>
      <c r="H198" s="71">
        <f t="shared" si="29"/>
        <v>100</v>
      </c>
    </row>
    <row r="199" spans="1:8" ht="31.5" outlineLevel="3">
      <c r="A199" s="12" t="s">
        <v>27</v>
      </c>
      <c r="B199" s="13" t="s">
        <v>5</v>
      </c>
      <c r="C199" s="13" t="s">
        <v>58</v>
      </c>
      <c r="D199" s="13" t="s">
        <v>158</v>
      </c>
      <c r="E199" s="13" t="s">
        <v>28</v>
      </c>
      <c r="F199" s="14">
        <f>1064652-36408-790804</f>
        <v>237440</v>
      </c>
      <c r="G199" s="14">
        <f>1064652-36408-790804</f>
        <v>237440</v>
      </c>
      <c r="H199" s="71">
        <f t="shared" si="29"/>
        <v>100</v>
      </c>
    </row>
    <row r="200" spans="1:8" ht="47.25" outlineLevel="3">
      <c r="A200" s="9" t="s">
        <v>159</v>
      </c>
      <c r="B200" s="10" t="s">
        <v>5</v>
      </c>
      <c r="C200" s="10" t="s">
        <v>58</v>
      </c>
      <c r="D200" s="26" t="s">
        <v>160</v>
      </c>
      <c r="E200" s="10" t="s">
        <v>8</v>
      </c>
      <c r="F200" s="11">
        <f>F201+F203</f>
        <v>721305</v>
      </c>
      <c r="G200" s="11">
        <f>G201+G203</f>
        <v>721305</v>
      </c>
      <c r="H200" s="71">
        <f t="shared" si="29"/>
        <v>100</v>
      </c>
    </row>
    <row r="201" spans="1:8" ht="63" outlineLevel="3">
      <c r="A201" s="9" t="s">
        <v>17</v>
      </c>
      <c r="B201" s="10" t="s">
        <v>5</v>
      </c>
      <c r="C201" s="10" t="s">
        <v>58</v>
      </c>
      <c r="D201" s="26" t="s">
        <v>160</v>
      </c>
      <c r="E201" s="10" t="s">
        <v>18</v>
      </c>
      <c r="F201" s="11">
        <f>F202</f>
        <v>428709</v>
      </c>
      <c r="G201" s="11">
        <f>G202</f>
        <v>428709</v>
      </c>
      <c r="H201" s="71">
        <f t="shared" si="29"/>
        <v>100</v>
      </c>
    </row>
    <row r="202" spans="1:8" ht="31.5" outlineLevel="3">
      <c r="A202" s="9" t="s">
        <v>19</v>
      </c>
      <c r="B202" s="10" t="s">
        <v>5</v>
      </c>
      <c r="C202" s="10" t="s">
        <v>58</v>
      </c>
      <c r="D202" s="26" t="s">
        <v>160</v>
      </c>
      <c r="E202" s="10" t="s">
        <v>20</v>
      </c>
      <c r="F202" s="11">
        <v>428709</v>
      </c>
      <c r="G202" s="11">
        <v>428709</v>
      </c>
      <c r="H202" s="71">
        <f t="shared" si="29"/>
        <v>100</v>
      </c>
    </row>
    <row r="203" spans="1:8" ht="31.5" outlineLevel="3">
      <c r="A203" s="9" t="s">
        <v>25</v>
      </c>
      <c r="B203" s="10" t="s">
        <v>5</v>
      </c>
      <c r="C203" s="10" t="s">
        <v>58</v>
      </c>
      <c r="D203" s="26" t="s">
        <v>160</v>
      </c>
      <c r="E203" s="10" t="s">
        <v>26</v>
      </c>
      <c r="F203" s="11">
        <f>F204</f>
        <v>292596</v>
      </c>
      <c r="G203" s="11">
        <f>G204</f>
        <v>292596</v>
      </c>
      <c r="H203" s="71">
        <f t="shared" si="29"/>
        <v>100</v>
      </c>
    </row>
    <row r="204" spans="1:8" ht="31.5" outlineLevel="3">
      <c r="A204" s="9" t="s">
        <v>27</v>
      </c>
      <c r="B204" s="10" t="s">
        <v>5</v>
      </c>
      <c r="C204" s="10" t="s">
        <v>58</v>
      </c>
      <c r="D204" s="26" t="s">
        <v>160</v>
      </c>
      <c r="E204" s="10" t="s">
        <v>28</v>
      </c>
      <c r="F204" s="11">
        <f>20534-4016+276078</f>
        <v>292596</v>
      </c>
      <c r="G204" s="11">
        <f>20534-4016+276078</f>
        <v>292596</v>
      </c>
      <c r="H204" s="71">
        <f t="shared" si="29"/>
        <v>100</v>
      </c>
    </row>
    <row r="205" spans="1:8" outlineLevel="3">
      <c r="A205" s="6" t="s">
        <v>161</v>
      </c>
      <c r="B205" s="7" t="s">
        <v>10</v>
      </c>
      <c r="C205" s="7" t="s">
        <v>6</v>
      </c>
      <c r="D205" s="7" t="s">
        <v>7</v>
      </c>
      <c r="E205" s="7" t="s">
        <v>8</v>
      </c>
      <c r="F205" s="8">
        <f>F206+F212</f>
        <v>2545032</v>
      </c>
      <c r="G205" s="8">
        <f>G206+G212</f>
        <v>2395032</v>
      </c>
      <c r="H205" s="70">
        <f t="shared" si="29"/>
        <v>94.106164480446608</v>
      </c>
    </row>
    <row r="206" spans="1:8" outlineLevel="3">
      <c r="A206" s="27" t="s">
        <v>162</v>
      </c>
      <c r="B206" s="10" t="s">
        <v>10</v>
      </c>
      <c r="C206" s="10" t="s">
        <v>22</v>
      </c>
      <c r="D206" s="10" t="s">
        <v>7</v>
      </c>
      <c r="E206" s="10" t="s">
        <v>8</v>
      </c>
      <c r="F206" s="11">
        <f t="shared" ref="F206:G210" si="30">F207</f>
        <v>2395032</v>
      </c>
      <c r="G206" s="11">
        <f t="shared" si="30"/>
        <v>2395032</v>
      </c>
      <c r="H206" s="71">
        <f t="shared" si="29"/>
        <v>100</v>
      </c>
    </row>
    <row r="207" spans="1:8" ht="31.5" outlineLevel="3">
      <c r="A207" s="9" t="s">
        <v>11</v>
      </c>
      <c r="B207" s="10" t="s">
        <v>10</v>
      </c>
      <c r="C207" s="10" t="s">
        <v>22</v>
      </c>
      <c r="D207" s="10" t="s">
        <v>12</v>
      </c>
      <c r="E207" s="10" t="s">
        <v>8</v>
      </c>
      <c r="F207" s="11">
        <f t="shared" si="30"/>
        <v>2395032</v>
      </c>
      <c r="G207" s="11">
        <f t="shared" si="30"/>
        <v>2395032</v>
      </c>
      <c r="H207" s="71">
        <f t="shared" si="29"/>
        <v>100</v>
      </c>
    </row>
    <row r="208" spans="1:8" ht="31.5" outlineLevel="3">
      <c r="A208" s="9" t="s">
        <v>13</v>
      </c>
      <c r="B208" s="10" t="s">
        <v>10</v>
      </c>
      <c r="C208" s="10" t="s">
        <v>22</v>
      </c>
      <c r="D208" s="10" t="s">
        <v>14</v>
      </c>
      <c r="E208" s="10" t="s">
        <v>8</v>
      </c>
      <c r="F208" s="11">
        <f t="shared" si="30"/>
        <v>2395032</v>
      </c>
      <c r="G208" s="11">
        <f t="shared" si="30"/>
        <v>2395032</v>
      </c>
      <c r="H208" s="71">
        <f t="shared" si="29"/>
        <v>100</v>
      </c>
    </row>
    <row r="209" spans="1:8" ht="31.5" outlineLevel="3">
      <c r="A209" s="9" t="s">
        <v>163</v>
      </c>
      <c r="B209" s="10" t="s">
        <v>10</v>
      </c>
      <c r="C209" s="10" t="s">
        <v>22</v>
      </c>
      <c r="D209" s="10" t="s">
        <v>164</v>
      </c>
      <c r="E209" s="10" t="s">
        <v>8</v>
      </c>
      <c r="F209" s="11">
        <f t="shared" si="30"/>
        <v>2395032</v>
      </c>
      <c r="G209" s="11">
        <f t="shared" si="30"/>
        <v>2395032</v>
      </c>
      <c r="H209" s="71">
        <f t="shared" si="29"/>
        <v>100</v>
      </c>
    </row>
    <row r="210" spans="1:8" ht="63" outlineLevel="3">
      <c r="A210" s="9" t="s">
        <v>17</v>
      </c>
      <c r="B210" s="10" t="s">
        <v>10</v>
      </c>
      <c r="C210" s="10" t="s">
        <v>22</v>
      </c>
      <c r="D210" s="10" t="s">
        <v>164</v>
      </c>
      <c r="E210" s="10" t="s">
        <v>18</v>
      </c>
      <c r="F210" s="11">
        <f t="shared" si="30"/>
        <v>2395032</v>
      </c>
      <c r="G210" s="11">
        <f t="shared" si="30"/>
        <v>2395032</v>
      </c>
      <c r="H210" s="71">
        <f t="shared" si="29"/>
        <v>100</v>
      </c>
    </row>
    <row r="211" spans="1:8" ht="31.5" outlineLevel="3">
      <c r="A211" s="9" t="s">
        <v>19</v>
      </c>
      <c r="B211" s="10" t="s">
        <v>10</v>
      </c>
      <c r="C211" s="10" t="s">
        <v>22</v>
      </c>
      <c r="D211" s="10" t="s">
        <v>164</v>
      </c>
      <c r="E211" s="10" t="s">
        <v>20</v>
      </c>
      <c r="F211" s="11">
        <f>2706768-314992+3256</f>
        <v>2395032</v>
      </c>
      <c r="G211" s="11">
        <f>2706768-314992+3256</f>
        <v>2395032</v>
      </c>
      <c r="H211" s="71">
        <f t="shared" si="29"/>
        <v>100</v>
      </c>
    </row>
    <row r="212" spans="1:8" outlineLevel="3">
      <c r="A212" s="28" t="s">
        <v>165</v>
      </c>
      <c r="B212" s="29" t="s">
        <v>10</v>
      </c>
      <c r="C212" s="29" t="s">
        <v>166</v>
      </c>
      <c r="D212" s="30" t="s">
        <v>7</v>
      </c>
      <c r="E212" s="29" t="s">
        <v>8</v>
      </c>
      <c r="F212" s="31">
        <f t="shared" ref="F212:G216" si="31">F213</f>
        <v>150000</v>
      </c>
      <c r="G212" s="31">
        <f t="shared" si="31"/>
        <v>0</v>
      </c>
      <c r="H212" s="71">
        <f t="shared" si="29"/>
        <v>0</v>
      </c>
    </row>
    <row r="213" spans="1:8" ht="31.5" outlineLevel="3">
      <c r="A213" s="28" t="s">
        <v>11</v>
      </c>
      <c r="B213" s="29" t="s">
        <v>10</v>
      </c>
      <c r="C213" s="29" t="s">
        <v>166</v>
      </c>
      <c r="D213" s="29" t="s">
        <v>12</v>
      </c>
      <c r="E213" s="29" t="s">
        <v>8</v>
      </c>
      <c r="F213" s="31">
        <f t="shared" si="31"/>
        <v>150000</v>
      </c>
      <c r="G213" s="31">
        <f t="shared" si="31"/>
        <v>0</v>
      </c>
      <c r="H213" s="71">
        <f t="shared" si="29"/>
        <v>0</v>
      </c>
    </row>
    <row r="214" spans="1:8" ht="31.5" outlineLevel="3">
      <c r="A214" s="28" t="s">
        <v>13</v>
      </c>
      <c r="B214" s="29" t="s">
        <v>10</v>
      </c>
      <c r="C214" s="29" t="s">
        <v>166</v>
      </c>
      <c r="D214" s="29" t="s">
        <v>14</v>
      </c>
      <c r="E214" s="29" t="s">
        <v>8</v>
      </c>
      <c r="F214" s="31">
        <f t="shared" si="31"/>
        <v>150000</v>
      </c>
      <c r="G214" s="31">
        <f t="shared" si="31"/>
        <v>0</v>
      </c>
      <c r="H214" s="71">
        <f t="shared" si="29"/>
        <v>0</v>
      </c>
    </row>
    <row r="215" spans="1:8" ht="47.25" outlineLevel="3">
      <c r="A215" s="28" t="s">
        <v>167</v>
      </c>
      <c r="B215" s="29" t="s">
        <v>10</v>
      </c>
      <c r="C215" s="29" t="s">
        <v>166</v>
      </c>
      <c r="D215" s="30" t="s">
        <v>168</v>
      </c>
      <c r="E215" s="29" t="s">
        <v>8</v>
      </c>
      <c r="F215" s="31">
        <f t="shared" si="31"/>
        <v>150000</v>
      </c>
      <c r="G215" s="31">
        <f t="shared" si="31"/>
        <v>0</v>
      </c>
      <c r="H215" s="71">
        <f t="shared" si="29"/>
        <v>0</v>
      </c>
    </row>
    <row r="216" spans="1:8" ht="31.5" outlineLevel="3">
      <c r="A216" s="28" t="s">
        <v>25</v>
      </c>
      <c r="B216" s="29" t="s">
        <v>10</v>
      </c>
      <c r="C216" s="29" t="s">
        <v>166</v>
      </c>
      <c r="D216" s="30" t="s">
        <v>168</v>
      </c>
      <c r="E216" s="29" t="s">
        <v>26</v>
      </c>
      <c r="F216" s="31">
        <f t="shared" si="31"/>
        <v>150000</v>
      </c>
      <c r="G216" s="31">
        <f t="shared" si="31"/>
        <v>0</v>
      </c>
      <c r="H216" s="71">
        <f t="shared" si="29"/>
        <v>0</v>
      </c>
    </row>
    <row r="217" spans="1:8" ht="31.5" outlineLevel="3">
      <c r="A217" s="32" t="s">
        <v>27</v>
      </c>
      <c r="B217" s="33" t="s">
        <v>10</v>
      </c>
      <c r="C217" s="33" t="s">
        <v>166</v>
      </c>
      <c r="D217" s="34" t="s">
        <v>168</v>
      </c>
      <c r="E217" s="33" t="s">
        <v>28</v>
      </c>
      <c r="F217" s="35">
        <v>150000</v>
      </c>
      <c r="G217" s="35">
        <v>0</v>
      </c>
      <c r="H217" s="71">
        <f t="shared" si="29"/>
        <v>0</v>
      </c>
    </row>
    <row r="218" spans="1:8" s="3" customFormat="1" ht="31.5">
      <c r="A218" s="6" t="s">
        <v>169</v>
      </c>
      <c r="B218" s="7" t="s">
        <v>22</v>
      </c>
      <c r="C218" s="7" t="s">
        <v>6</v>
      </c>
      <c r="D218" s="7" t="s">
        <v>7</v>
      </c>
      <c r="E218" s="7" t="s">
        <v>8</v>
      </c>
      <c r="F218" s="8">
        <f t="shared" ref="F218:G223" si="32">F219</f>
        <v>4500000</v>
      </c>
      <c r="G218" s="8">
        <f t="shared" si="32"/>
        <v>2622787.52</v>
      </c>
      <c r="H218" s="70">
        <f t="shared" si="29"/>
        <v>58.28416711111111</v>
      </c>
    </row>
    <row r="219" spans="1:8" ht="31.5" outlineLevel="1">
      <c r="A219" s="36" t="s">
        <v>170</v>
      </c>
      <c r="B219" s="10" t="s">
        <v>22</v>
      </c>
      <c r="C219" s="10" t="s">
        <v>171</v>
      </c>
      <c r="D219" s="10" t="s">
        <v>7</v>
      </c>
      <c r="E219" s="10" t="s">
        <v>8</v>
      </c>
      <c r="F219" s="11">
        <f t="shared" si="32"/>
        <v>4500000</v>
      </c>
      <c r="G219" s="11">
        <f t="shared" si="32"/>
        <v>2622787.52</v>
      </c>
      <c r="H219" s="71">
        <f t="shared" si="29"/>
        <v>58.28416711111111</v>
      </c>
    </row>
    <row r="220" spans="1:8" ht="47.25" outlineLevel="1">
      <c r="A220" s="18" t="s">
        <v>72</v>
      </c>
      <c r="B220" s="10" t="s">
        <v>22</v>
      </c>
      <c r="C220" s="10" t="s">
        <v>171</v>
      </c>
      <c r="D220" s="10" t="s">
        <v>73</v>
      </c>
      <c r="E220" s="10" t="s">
        <v>8</v>
      </c>
      <c r="F220" s="17">
        <f t="shared" si="32"/>
        <v>4500000</v>
      </c>
      <c r="G220" s="17">
        <f t="shared" si="32"/>
        <v>2622787.52</v>
      </c>
      <c r="H220" s="71">
        <f t="shared" si="29"/>
        <v>58.28416711111111</v>
      </c>
    </row>
    <row r="221" spans="1:8" ht="63" outlineLevel="1">
      <c r="A221" s="18" t="s">
        <v>74</v>
      </c>
      <c r="B221" s="10" t="s">
        <v>22</v>
      </c>
      <c r="C221" s="10" t="s">
        <v>171</v>
      </c>
      <c r="D221" s="10" t="s">
        <v>75</v>
      </c>
      <c r="E221" s="10" t="s">
        <v>8</v>
      </c>
      <c r="F221" s="17">
        <f t="shared" si="32"/>
        <v>4500000</v>
      </c>
      <c r="G221" s="17">
        <f t="shared" si="32"/>
        <v>2622787.52</v>
      </c>
      <c r="H221" s="71">
        <f t="shared" si="29"/>
        <v>58.28416711111111</v>
      </c>
    </row>
    <row r="222" spans="1:8" ht="31.5" outlineLevel="1">
      <c r="A222" s="9" t="s">
        <v>172</v>
      </c>
      <c r="B222" s="10" t="s">
        <v>22</v>
      </c>
      <c r="C222" s="10" t="s">
        <v>171</v>
      </c>
      <c r="D222" s="10" t="s">
        <v>173</v>
      </c>
      <c r="E222" s="10" t="s">
        <v>8</v>
      </c>
      <c r="F222" s="17">
        <f t="shared" si="32"/>
        <v>4500000</v>
      </c>
      <c r="G222" s="17">
        <f t="shared" si="32"/>
        <v>2622787.52</v>
      </c>
      <c r="H222" s="71">
        <f t="shared" si="29"/>
        <v>58.28416711111111</v>
      </c>
    </row>
    <row r="223" spans="1:8" ht="31.5" outlineLevel="1">
      <c r="A223" s="9" t="s">
        <v>25</v>
      </c>
      <c r="B223" s="10" t="s">
        <v>22</v>
      </c>
      <c r="C223" s="10" t="s">
        <v>171</v>
      </c>
      <c r="D223" s="10" t="s">
        <v>173</v>
      </c>
      <c r="E223" s="10" t="s">
        <v>26</v>
      </c>
      <c r="F223" s="17">
        <f t="shared" si="32"/>
        <v>4500000</v>
      </c>
      <c r="G223" s="17">
        <f t="shared" si="32"/>
        <v>2622787.52</v>
      </c>
      <c r="H223" s="71">
        <f t="shared" si="29"/>
        <v>58.28416711111111</v>
      </c>
    </row>
    <row r="224" spans="1:8" ht="31.5" outlineLevel="1">
      <c r="A224" s="9" t="s">
        <v>27</v>
      </c>
      <c r="B224" s="10" t="s">
        <v>22</v>
      </c>
      <c r="C224" s="10" t="s">
        <v>171</v>
      </c>
      <c r="D224" s="10" t="s">
        <v>173</v>
      </c>
      <c r="E224" s="10" t="s">
        <v>28</v>
      </c>
      <c r="F224" s="17">
        <f>3000000-412705.7+412705.7-1500000+3000000</f>
        <v>4500000</v>
      </c>
      <c r="G224" s="72">
        <v>2622787.52</v>
      </c>
      <c r="H224" s="71">
        <f t="shared" si="29"/>
        <v>58.28416711111111</v>
      </c>
    </row>
    <row r="225" spans="1:8" s="3" customFormat="1">
      <c r="A225" s="6" t="s">
        <v>174</v>
      </c>
      <c r="B225" s="7" t="s">
        <v>42</v>
      </c>
      <c r="C225" s="7" t="s">
        <v>6</v>
      </c>
      <c r="D225" s="7" t="s">
        <v>7</v>
      </c>
      <c r="E225" s="7" t="s">
        <v>8</v>
      </c>
      <c r="F225" s="8">
        <f>F226+F237+F246+F276+F282</f>
        <v>289343548.74000001</v>
      </c>
      <c r="G225" s="8">
        <f>G226+G237+G246+G276+G282</f>
        <v>274958528.19000006</v>
      </c>
      <c r="H225" s="70">
        <f t="shared" si="29"/>
        <v>95.028394234935533</v>
      </c>
    </row>
    <row r="226" spans="1:8" s="3" customFormat="1">
      <c r="A226" s="9" t="s">
        <v>175</v>
      </c>
      <c r="B226" s="10" t="s">
        <v>42</v>
      </c>
      <c r="C226" s="10" t="s">
        <v>44</v>
      </c>
      <c r="D226" s="10" t="s">
        <v>7</v>
      </c>
      <c r="E226" s="10" t="s">
        <v>8</v>
      </c>
      <c r="F226" s="17">
        <f>F227+F232</f>
        <v>4946125.8100000005</v>
      </c>
      <c r="G226" s="17">
        <f>G227+G232</f>
        <v>3666567.97</v>
      </c>
      <c r="H226" s="71">
        <f t="shared" si="29"/>
        <v>74.130099209910711</v>
      </c>
    </row>
    <row r="227" spans="1:8" s="3" customFormat="1" ht="63">
      <c r="A227" s="37" t="s">
        <v>176</v>
      </c>
      <c r="B227" s="10" t="s">
        <v>42</v>
      </c>
      <c r="C227" s="10" t="s">
        <v>44</v>
      </c>
      <c r="D227" s="10" t="s">
        <v>177</v>
      </c>
      <c r="E227" s="10" t="s">
        <v>8</v>
      </c>
      <c r="F227" s="17">
        <f t="shared" ref="F227:G230" si="33">F228</f>
        <v>12000</v>
      </c>
      <c r="G227" s="17">
        <f t="shared" si="33"/>
        <v>0</v>
      </c>
      <c r="H227" s="71">
        <f t="shared" si="29"/>
        <v>0</v>
      </c>
    </row>
    <row r="228" spans="1:8" s="3" customFormat="1" ht="65.25" customHeight="1">
      <c r="A228" s="37" t="s">
        <v>178</v>
      </c>
      <c r="B228" s="10" t="s">
        <v>42</v>
      </c>
      <c r="C228" s="10" t="s">
        <v>44</v>
      </c>
      <c r="D228" s="10" t="s">
        <v>179</v>
      </c>
      <c r="E228" s="10" t="s">
        <v>8</v>
      </c>
      <c r="F228" s="17">
        <f t="shared" si="33"/>
        <v>12000</v>
      </c>
      <c r="G228" s="17">
        <f t="shared" si="33"/>
        <v>0</v>
      </c>
      <c r="H228" s="71">
        <f t="shared" si="29"/>
        <v>0</v>
      </c>
    </row>
    <row r="229" spans="1:8" s="3" customFormat="1" ht="47.25">
      <c r="A229" s="38" t="s">
        <v>180</v>
      </c>
      <c r="B229" s="10" t="s">
        <v>42</v>
      </c>
      <c r="C229" s="10" t="s">
        <v>44</v>
      </c>
      <c r="D229" s="10" t="s">
        <v>181</v>
      </c>
      <c r="E229" s="10" t="s">
        <v>8</v>
      </c>
      <c r="F229" s="17">
        <f t="shared" si="33"/>
        <v>12000</v>
      </c>
      <c r="G229" s="17">
        <f t="shared" si="33"/>
        <v>0</v>
      </c>
      <c r="H229" s="71">
        <f t="shared" si="29"/>
        <v>0</v>
      </c>
    </row>
    <row r="230" spans="1:8" s="3" customFormat="1">
      <c r="A230" s="38" t="s">
        <v>35</v>
      </c>
      <c r="B230" s="10" t="s">
        <v>42</v>
      </c>
      <c r="C230" s="10" t="s">
        <v>44</v>
      </c>
      <c r="D230" s="10" t="s">
        <v>181</v>
      </c>
      <c r="E230" s="10" t="s">
        <v>36</v>
      </c>
      <c r="F230" s="17">
        <f t="shared" si="33"/>
        <v>12000</v>
      </c>
      <c r="G230" s="17">
        <f t="shared" si="33"/>
        <v>0</v>
      </c>
      <c r="H230" s="71">
        <f t="shared" si="29"/>
        <v>0</v>
      </c>
    </row>
    <row r="231" spans="1:8" s="3" customFormat="1" ht="47.25">
      <c r="A231" s="38" t="s">
        <v>182</v>
      </c>
      <c r="B231" s="10" t="s">
        <v>42</v>
      </c>
      <c r="C231" s="10" t="s">
        <v>44</v>
      </c>
      <c r="D231" s="10" t="s">
        <v>181</v>
      </c>
      <c r="E231" s="10" t="s">
        <v>183</v>
      </c>
      <c r="F231" s="17">
        <v>12000</v>
      </c>
      <c r="G231" s="17">
        <v>0</v>
      </c>
      <c r="H231" s="71">
        <f t="shared" si="29"/>
        <v>0</v>
      </c>
    </row>
    <row r="232" spans="1:8" s="3" customFormat="1" ht="31.5">
      <c r="A232" s="9" t="s">
        <v>11</v>
      </c>
      <c r="B232" s="10" t="s">
        <v>42</v>
      </c>
      <c r="C232" s="10" t="s">
        <v>44</v>
      </c>
      <c r="D232" s="10" t="s">
        <v>12</v>
      </c>
      <c r="E232" s="10" t="s">
        <v>8</v>
      </c>
      <c r="F232" s="17">
        <f t="shared" ref="F232:G235" si="34">F233</f>
        <v>4934125.8100000005</v>
      </c>
      <c r="G232" s="17">
        <f t="shared" si="34"/>
        <v>3666567.97</v>
      </c>
      <c r="H232" s="71">
        <f t="shared" si="29"/>
        <v>74.310386706576494</v>
      </c>
    </row>
    <row r="233" spans="1:8" s="3" customFormat="1" ht="31.5">
      <c r="A233" s="9" t="s">
        <v>13</v>
      </c>
      <c r="B233" s="10" t="s">
        <v>42</v>
      </c>
      <c r="C233" s="10" t="s">
        <v>44</v>
      </c>
      <c r="D233" s="10" t="s">
        <v>14</v>
      </c>
      <c r="E233" s="10" t="s">
        <v>8</v>
      </c>
      <c r="F233" s="17">
        <f t="shared" si="34"/>
        <v>4934125.8100000005</v>
      </c>
      <c r="G233" s="17">
        <f t="shared" si="34"/>
        <v>3666567.97</v>
      </c>
      <c r="H233" s="71">
        <f t="shared" si="29"/>
        <v>74.310386706576494</v>
      </c>
    </row>
    <row r="234" spans="1:8" s="3" customFormat="1" ht="47.25">
      <c r="A234" s="9" t="s">
        <v>184</v>
      </c>
      <c r="B234" s="10" t="s">
        <v>42</v>
      </c>
      <c r="C234" s="10" t="s">
        <v>44</v>
      </c>
      <c r="D234" s="10" t="s">
        <v>185</v>
      </c>
      <c r="E234" s="10" t="s">
        <v>8</v>
      </c>
      <c r="F234" s="17">
        <f t="shared" si="34"/>
        <v>4934125.8100000005</v>
      </c>
      <c r="G234" s="17">
        <f t="shared" si="34"/>
        <v>3666567.97</v>
      </c>
      <c r="H234" s="71">
        <f t="shared" si="29"/>
        <v>74.310386706576494</v>
      </c>
    </row>
    <row r="235" spans="1:8" s="3" customFormat="1" ht="31.5">
      <c r="A235" s="9" t="s">
        <v>25</v>
      </c>
      <c r="B235" s="10" t="s">
        <v>42</v>
      </c>
      <c r="C235" s="10" t="s">
        <v>44</v>
      </c>
      <c r="D235" s="10" t="s">
        <v>185</v>
      </c>
      <c r="E235" s="10" t="s">
        <v>26</v>
      </c>
      <c r="F235" s="17">
        <f t="shared" si="34"/>
        <v>4934125.8100000005</v>
      </c>
      <c r="G235" s="17">
        <f t="shared" si="34"/>
        <v>3666567.97</v>
      </c>
      <c r="H235" s="71">
        <f t="shared" si="29"/>
        <v>74.310386706576494</v>
      </c>
    </row>
    <row r="236" spans="1:8" s="3" customFormat="1" ht="31.5">
      <c r="A236" s="9" t="s">
        <v>27</v>
      </c>
      <c r="B236" s="10" t="s">
        <v>42</v>
      </c>
      <c r="C236" s="10" t="s">
        <v>44</v>
      </c>
      <c r="D236" s="10" t="s">
        <v>185</v>
      </c>
      <c r="E236" s="10" t="s">
        <v>28</v>
      </c>
      <c r="F236" s="17">
        <f>3136562.64+1797563.17</f>
        <v>4934125.8100000005</v>
      </c>
      <c r="G236" s="72">
        <v>3666567.97</v>
      </c>
      <c r="H236" s="71">
        <f t="shared" si="29"/>
        <v>74.310386706576494</v>
      </c>
    </row>
    <row r="237" spans="1:8" outlineLevel="1">
      <c r="A237" s="9" t="s">
        <v>186</v>
      </c>
      <c r="B237" s="10" t="s">
        <v>42</v>
      </c>
      <c r="C237" s="10" t="s">
        <v>187</v>
      </c>
      <c r="D237" s="10" t="s">
        <v>7</v>
      </c>
      <c r="E237" s="10" t="s">
        <v>8</v>
      </c>
      <c r="F237" s="11">
        <f t="shared" ref="F237:G238" si="35">F238</f>
        <v>1364526.65</v>
      </c>
      <c r="G237" s="11">
        <f t="shared" si="35"/>
        <v>761210.4</v>
      </c>
      <c r="H237" s="71">
        <f t="shared" si="29"/>
        <v>55.785674834566265</v>
      </c>
    </row>
    <row r="238" spans="1:8" ht="31.5" outlineLevel="2">
      <c r="A238" s="18" t="s">
        <v>188</v>
      </c>
      <c r="B238" s="10" t="s">
        <v>42</v>
      </c>
      <c r="C238" s="10" t="s">
        <v>187</v>
      </c>
      <c r="D238" s="10" t="s">
        <v>189</v>
      </c>
      <c r="E238" s="10" t="s">
        <v>8</v>
      </c>
      <c r="F238" s="17">
        <f t="shared" si="35"/>
        <v>1364526.65</v>
      </c>
      <c r="G238" s="17">
        <f t="shared" si="35"/>
        <v>761210.4</v>
      </c>
      <c r="H238" s="71">
        <f t="shared" si="29"/>
        <v>55.785674834566265</v>
      </c>
    </row>
    <row r="239" spans="1:8" ht="31.5" outlineLevel="2">
      <c r="A239" s="18" t="s">
        <v>190</v>
      </c>
      <c r="B239" s="10" t="s">
        <v>42</v>
      </c>
      <c r="C239" s="10" t="s">
        <v>187</v>
      </c>
      <c r="D239" s="10" t="s">
        <v>191</v>
      </c>
      <c r="E239" s="10" t="s">
        <v>8</v>
      </c>
      <c r="F239" s="17">
        <f>F240+F243</f>
        <v>1364526.65</v>
      </c>
      <c r="G239" s="17">
        <f>G240+G243</f>
        <v>761210.4</v>
      </c>
      <c r="H239" s="71">
        <f t="shared" si="29"/>
        <v>55.785674834566265</v>
      </c>
    </row>
    <row r="240" spans="1:8" ht="31.5" outlineLevel="3">
      <c r="A240" s="18" t="s">
        <v>192</v>
      </c>
      <c r="B240" s="10" t="s">
        <v>42</v>
      </c>
      <c r="C240" s="10" t="s">
        <v>187</v>
      </c>
      <c r="D240" s="10" t="s">
        <v>193</v>
      </c>
      <c r="E240" s="10" t="s">
        <v>8</v>
      </c>
      <c r="F240" s="17">
        <f t="shared" ref="F240:G241" si="36">F241</f>
        <v>764525.28</v>
      </c>
      <c r="G240" s="17">
        <f t="shared" si="36"/>
        <v>761210.4</v>
      </c>
      <c r="H240" s="71">
        <f t="shared" si="29"/>
        <v>99.566413291134069</v>
      </c>
    </row>
    <row r="241" spans="1:8" ht="31.5" outlineLevel="3">
      <c r="A241" s="9" t="s">
        <v>25</v>
      </c>
      <c r="B241" s="10" t="s">
        <v>42</v>
      </c>
      <c r="C241" s="10" t="s">
        <v>187</v>
      </c>
      <c r="D241" s="10" t="s">
        <v>193</v>
      </c>
      <c r="E241" s="10" t="s">
        <v>26</v>
      </c>
      <c r="F241" s="17">
        <f t="shared" si="36"/>
        <v>764525.28</v>
      </c>
      <c r="G241" s="17">
        <f t="shared" si="36"/>
        <v>761210.4</v>
      </c>
      <c r="H241" s="71">
        <f t="shared" si="29"/>
        <v>99.566413291134069</v>
      </c>
    </row>
    <row r="242" spans="1:8" ht="31.5" outlineLevel="5">
      <c r="A242" s="12" t="s">
        <v>27</v>
      </c>
      <c r="B242" s="13" t="s">
        <v>42</v>
      </c>
      <c r="C242" s="13" t="s">
        <v>187</v>
      </c>
      <c r="D242" s="13" t="s">
        <v>193</v>
      </c>
      <c r="E242" s="13" t="s">
        <v>28</v>
      </c>
      <c r="F242" s="16">
        <f>1016000-525774.4+74299.68+1000000-800000</f>
        <v>764525.28</v>
      </c>
      <c r="G242" s="72">
        <v>761210.4</v>
      </c>
      <c r="H242" s="71">
        <f t="shared" si="29"/>
        <v>99.566413291134069</v>
      </c>
    </row>
    <row r="243" spans="1:8" ht="31.5" outlineLevel="5">
      <c r="A243" s="9" t="s">
        <v>194</v>
      </c>
      <c r="B243" s="10" t="s">
        <v>42</v>
      </c>
      <c r="C243" s="10" t="s">
        <v>187</v>
      </c>
      <c r="D243" s="10" t="s">
        <v>195</v>
      </c>
      <c r="E243" s="10" t="s">
        <v>8</v>
      </c>
      <c r="F243" s="17">
        <f t="shared" ref="F243:G244" si="37">F244</f>
        <v>600001.37</v>
      </c>
      <c r="G243" s="17">
        <f t="shared" si="37"/>
        <v>0</v>
      </c>
      <c r="H243" s="71">
        <f t="shared" si="29"/>
        <v>0</v>
      </c>
    </row>
    <row r="244" spans="1:8" ht="31.5" outlineLevel="5">
      <c r="A244" s="9" t="s">
        <v>25</v>
      </c>
      <c r="B244" s="10" t="s">
        <v>42</v>
      </c>
      <c r="C244" s="10" t="s">
        <v>187</v>
      </c>
      <c r="D244" s="10" t="s">
        <v>195</v>
      </c>
      <c r="E244" s="10" t="s">
        <v>26</v>
      </c>
      <c r="F244" s="17">
        <f t="shared" si="37"/>
        <v>600001.37</v>
      </c>
      <c r="G244" s="17">
        <f t="shared" si="37"/>
        <v>0</v>
      </c>
      <c r="H244" s="71">
        <f t="shared" si="29"/>
        <v>0</v>
      </c>
    </row>
    <row r="245" spans="1:8" ht="31.5" outlineLevel="5">
      <c r="A245" s="9" t="s">
        <v>27</v>
      </c>
      <c r="B245" s="10" t="s">
        <v>42</v>
      </c>
      <c r="C245" s="10" t="s">
        <v>187</v>
      </c>
      <c r="D245" s="10" t="s">
        <v>195</v>
      </c>
      <c r="E245" s="10" t="s">
        <v>28</v>
      </c>
      <c r="F245" s="17">
        <v>600001.37</v>
      </c>
      <c r="G245" s="17">
        <v>0</v>
      </c>
      <c r="H245" s="71">
        <f t="shared" si="29"/>
        <v>0</v>
      </c>
    </row>
    <row r="246" spans="1:8" outlineLevel="5">
      <c r="A246" s="9" t="s">
        <v>196</v>
      </c>
      <c r="B246" s="10" t="s">
        <v>42</v>
      </c>
      <c r="C246" s="10" t="s">
        <v>166</v>
      </c>
      <c r="D246" s="10" t="s">
        <v>7</v>
      </c>
      <c r="E246" s="10" t="s">
        <v>8</v>
      </c>
      <c r="F246" s="17">
        <f>F247+F271</f>
        <v>266489670.28000003</v>
      </c>
      <c r="G246" s="17">
        <f>G247+G271</f>
        <v>256671948.82000002</v>
      </c>
      <c r="H246" s="71">
        <f t="shared" si="29"/>
        <v>96.315909187142395</v>
      </c>
    </row>
    <row r="247" spans="1:8" ht="31.5" outlineLevel="5">
      <c r="A247" s="18" t="s">
        <v>188</v>
      </c>
      <c r="B247" s="10" t="s">
        <v>42</v>
      </c>
      <c r="C247" s="10" t="s">
        <v>166</v>
      </c>
      <c r="D247" s="10" t="s">
        <v>189</v>
      </c>
      <c r="E247" s="10" t="s">
        <v>8</v>
      </c>
      <c r="F247" s="17">
        <f>F248+F267</f>
        <v>263489670.28000003</v>
      </c>
      <c r="G247" s="17">
        <f>G248+G267</f>
        <v>253671948.82000002</v>
      </c>
      <c r="H247" s="71">
        <f t="shared" si="29"/>
        <v>96.273963434859851</v>
      </c>
    </row>
    <row r="248" spans="1:8" ht="31.5" outlineLevel="5">
      <c r="A248" s="18" t="s">
        <v>197</v>
      </c>
      <c r="B248" s="10" t="s">
        <v>42</v>
      </c>
      <c r="C248" s="10" t="s">
        <v>166</v>
      </c>
      <c r="D248" s="10" t="s">
        <v>198</v>
      </c>
      <c r="E248" s="10" t="s">
        <v>8</v>
      </c>
      <c r="F248" s="17">
        <f>F249+F252+F255+F258+F261+F264</f>
        <v>262159570.28000003</v>
      </c>
      <c r="G248" s="17">
        <f>G249+G252+G255+G258+G261+G264</f>
        <v>252341848.82000002</v>
      </c>
      <c r="H248" s="71">
        <f t="shared" si="29"/>
        <v>96.255058913350297</v>
      </c>
    </row>
    <row r="249" spans="1:8" ht="31.5" outlineLevel="5">
      <c r="A249" s="9" t="s">
        <v>199</v>
      </c>
      <c r="B249" s="10" t="s">
        <v>42</v>
      </c>
      <c r="C249" s="10" t="s">
        <v>166</v>
      </c>
      <c r="D249" s="10" t="s">
        <v>200</v>
      </c>
      <c r="E249" s="10" t="s">
        <v>8</v>
      </c>
      <c r="F249" s="17">
        <f t="shared" ref="F249:G250" si="38">F250</f>
        <v>50468795.370000005</v>
      </c>
      <c r="G249" s="17">
        <f t="shared" si="38"/>
        <v>42818318.630000003</v>
      </c>
      <c r="H249" s="71">
        <f t="shared" si="29"/>
        <v>84.84117426637124</v>
      </c>
    </row>
    <row r="250" spans="1:8" ht="31.5" outlineLevel="5">
      <c r="A250" s="9" t="s">
        <v>25</v>
      </c>
      <c r="B250" s="10" t="s">
        <v>42</v>
      </c>
      <c r="C250" s="10" t="s">
        <v>166</v>
      </c>
      <c r="D250" s="10" t="s">
        <v>200</v>
      </c>
      <c r="E250" s="10" t="s">
        <v>26</v>
      </c>
      <c r="F250" s="17">
        <f t="shared" si="38"/>
        <v>50468795.370000005</v>
      </c>
      <c r="G250" s="17">
        <f t="shared" si="38"/>
        <v>42818318.630000003</v>
      </c>
      <c r="H250" s="71">
        <f t="shared" si="29"/>
        <v>84.84117426637124</v>
      </c>
    </row>
    <row r="251" spans="1:8" ht="31.5" outlineLevel="5">
      <c r="A251" s="12" t="s">
        <v>27</v>
      </c>
      <c r="B251" s="13" t="s">
        <v>42</v>
      </c>
      <c r="C251" s="13" t="s">
        <v>166</v>
      </c>
      <c r="D251" s="13" t="s">
        <v>200</v>
      </c>
      <c r="E251" s="13" t="s">
        <v>28</v>
      </c>
      <c r="F251" s="16">
        <f>19528639.4+4481935.75-646256.9-9711130.46-5327660.01+2570000+20000000+9000000-93752.18+16175000-3378087.44-2200000+1705775.77-1635668.56</f>
        <v>50468795.370000005</v>
      </c>
      <c r="G251" s="72">
        <v>42818318.630000003</v>
      </c>
      <c r="H251" s="71">
        <f t="shared" si="29"/>
        <v>84.84117426637124</v>
      </c>
    </row>
    <row r="252" spans="1:8" ht="31.5" outlineLevel="5">
      <c r="A252" s="28" t="s">
        <v>201</v>
      </c>
      <c r="B252" s="10" t="s">
        <v>42</v>
      </c>
      <c r="C252" s="10" t="s">
        <v>166</v>
      </c>
      <c r="D252" s="10" t="s">
        <v>202</v>
      </c>
      <c r="E252" s="10" t="s">
        <v>8</v>
      </c>
      <c r="F252" s="17">
        <f t="shared" ref="F252:G253" si="39">F253</f>
        <v>58347743.960000001</v>
      </c>
      <c r="G252" s="17">
        <f t="shared" si="39"/>
        <v>57914242.140000001</v>
      </c>
      <c r="H252" s="71">
        <f t="shared" si="29"/>
        <v>99.257037563787918</v>
      </c>
    </row>
    <row r="253" spans="1:8" ht="31.5" outlineLevel="5">
      <c r="A253" s="9" t="s">
        <v>25</v>
      </c>
      <c r="B253" s="10" t="s">
        <v>42</v>
      </c>
      <c r="C253" s="10" t="s">
        <v>166</v>
      </c>
      <c r="D253" s="10" t="s">
        <v>202</v>
      </c>
      <c r="E253" s="10" t="s">
        <v>26</v>
      </c>
      <c r="F253" s="17">
        <f t="shared" si="39"/>
        <v>58347743.960000001</v>
      </c>
      <c r="G253" s="17">
        <f t="shared" si="39"/>
        <v>57914242.140000001</v>
      </c>
      <c r="H253" s="71">
        <f t="shared" si="29"/>
        <v>99.257037563787918</v>
      </c>
    </row>
    <row r="254" spans="1:8" ht="31.5" outlineLevel="5">
      <c r="A254" s="12" t="s">
        <v>27</v>
      </c>
      <c r="B254" s="13" t="s">
        <v>42</v>
      </c>
      <c r="C254" s="13" t="s">
        <v>166</v>
      </c>
      <c r="D254" s="13" t="s">
        <v>202</v>
      </c>
      <c r="E254" s="13" t="s">
        <v>28</v>
      </c>
      <c r="F254" s="16">
        <f>1495773-773195.88+1500000-1288869.54+1342660.01+1000000+3700000+19452.5+4585000+1772132.59+8657176.35+4372554.5+3462987.44+22000000+2200000-1705775.77+4000000+2435668.56-427819.8</f>
        <v>58347743.960000001</v>
      </c>
      <c r="G254" s="72">
        <v>57914242.140000001</v>
      </c>
      <c r="H254" s="71">
        <f t="shared" si="29"/>
        <v>99.257037563787918</v>
      </c>
    </row>
    <row r="255" spans="1:8" ht="47.25" outlineLevel="5">
      <c r="A255" s="39" t="s">
        <v>203</v>
      </c>
      <c r="B255" s="10" t="s">
        <v>42</v>
      </c>
      <c r="C255" s="10" t="s">
        <v>166</v>
      </c>
      <c r="D255" s="10" t="s">
        <v>204</v>
      </c>
      <c r="E255" s="10" t="s">
        <v>8</v>
      </c>
      <c r="F255" s="17">
        <f t="shared" ref="F255:G256" si="40">F256</f>
        <v>477819.8</v>
      </c>
      <c r="G255" s="17">
        <f t="shared" si="40"/>
        <v>441819.8</v>
      </c>
      <c r="H255" s="71">
        <f t="shared" si="29"/>
        <v>92.465778940094154</v>
      </c>
    </row>
    <row r="256" spans="1:8" ht="31.5" outlineLevel="5">
      <c r="A256" s="9" t="s">
        <v>205</v>
      </c>
      <c r="B256" s="10" t="s">
        <v>42</v>
      </c>
      <c r="C256" s="10" t="s">
        <v>166</v>
      </c>
      <c r="D256" s="10" t="s">
        <v>204</v>
      </c>
      <c r="E256" s="10" t="s">
        <v>206</v>
      </c>
      <c r="F256" s="17">
        <f t="shared" si="40"/>
        <v>477819.8</v>
      </c>
      <c r="G256" s="17">
        <f t="shared" si="40"/>
        <v>441819.8</v>
      </c>
      <c r="H256" s="71">
        <f t="shared" si="29"/>
        <v>92.465778940094154</v>
      </c>
    </row>
    <row r="257" spans="1:8" outlineLevel="5">
      <c r="A257" s="12" t="s">
        <v>207</v>
      </c>
      <c r="B257" s="13" t="s">
        <v>42</v>
      </c>
      <c r="C257" s="13" t="s">
        <v>166</v>
      </c>
      <c r="D257" s="13" t="s">
        <v>204</v>
      </c>
      <c r="E257" s="13" t="s">
        <v>208</v>
      </c>
      <c r="F257" s="16">
        <f>427819.8+50000</f>
        <v>477819.8</v>
      </c>
      <c r="G257" s="72">
        <v>441819.8</v>
      </c>
      <c r="H257" s="71">
        <f t="shared" si="29"/>
        <v>92.465778940094154</v>
      </c>
    </row>
    <row r="258" spans="1:8" ht="63" outlineLevel="5">
      <c r="A258" s="9" t="s">
        <v>209</v>
      </c>
      <c r="B258" s="10" t="s">
        <v>42</v>
      </c>
      <c r="C258" s="10" t="s">
        <v>166</v>
      </c>
      <c r="D258" s="10" t="s">
        <v>210</v>
      </c>
      <c r="E258" s="10" t="s">
        <v>8</v>
      </c>
      <c r="F258" s="17">
        <f t="shared" ref="F258:G259" si="41">F259</f>
        <v>22791197.530000001</v>
      </c>
      <c r="G258" s="17">
        <f t="shared" si="41"/>
        <v>22791197.530000001</v>
      </c>
      <c r="H258" s="71">
        <f t="shared" si="29"/>
        <v>100</v>
      </c>
    </row>
    <row r="259" spans="1:8" ht="31.5" outlineLevel="5">
      <c r="A259" s="9" t="s">
        <v>25</v>
      </c>
      <c r="B259" s="10" t="s">
        <v>42</v>
      </c>
      <c r="C259" s="10" t="s">
        <v>166</v>
      </c>
      <c r="D259" s="10" t="s">
        <v>210</v>
      </c>
      <c r="E259" s="10" t="s">
        <v>26</v>
      </c>
      <c r="F259" s="17">
        <f t="shared" si="41"/>
        <v>22791197.530000001</v>
      </c>
      <c r="G259" s="17">
        <f t="shared" si="41"/>
        <v>22791197.530000001</v>
      </c>
      <c r="H259" s="71">
        <f t="shared" si="29"/>
        <v>100</v>
      </c>
    </row>
    <row r="260" spans="1:8" ht="31.5" outlineLevel="5">
      <c r="A260" s="9" t="s">
        <v>27</v>
      </c>
      <c r="B260" s="10" t="s">
        <v>42</v>
      </c>
      <c r="C260" s="10" t="s">
        <v>166</v>
      </c>
      <c r="D260" s="10" t="s">
        <v>210</v>
      </c>
      <c r="E260" s="10" t="s">
        <v>28</v>
      </c>
      <c r="F260" s="17">
        <v>22791197.530000001</v>
      </c>
      <c r="G260" s="72">
        <v>22791197.530000001</v>
      </c>
      <c r="H260" s="71">
        <f t="shared" si="29"/>
        <v>100</v>
      </c>
    </row>
    <row r="261" spans="1:8" ht="94.5" outlineLevel="5">
      <c r="A261" s="9" t="s">
        <v>211</v>
      </c>
      <c r="B261" s="10" t="s">
        <v>42</v>
      </c>
      <c r="C261" s="10" t="s">
        <v>166</v>
      </c>
      <c r="D261" s="10" t="s">
        <v>212</v>
      </c>
      <c r="E261" s="10" t="s">
        <v>8</v>
      </c>
      <c r="F261" s="11">
        <f t="shared" ref="F261:G262" si="42">F262</f>
        <v>34425587.600000001</v>
      </c>
      <c r="G261" s="11">
        <f t="shared" si="42"/>
        <v>34425587.600000001</v>
      </c>
      <c r="H261" s="71">
        <f t="shared" ref="H261:H324" si="43">G261/F261*100</f>
        <v>100</v>
      </c>
    </row>
    <row r="262" spans="1:8" ht="31.5" outlineLevel="5">
      <c r="A262" s="9" t="s">
        <v>205</v>
      </c>
      <c r="B262" s="10" t="s">
        <v>42</v>
      </c>
      <c r="C262" s="10" t="s">
        <v>166</v>
      </c>
      <c r="D262" s="10" t="s">
        <v>212</v>
      </c>
      <c r="E262" s="10" t="s">
        <v>206</v>
      </c>
      <c r="F262" s="11">
        <f t="shared" si="42"/>
        <v>34425587.600000001</v>
      </c>
      <c r="G262" s="11">
        <f t="shared" si="42"/>
        <v>34425587.600000001</v>
      </c>
      <c r="H262" s="71">
        <f t="shared" si="43"/>
        <v>100</v>
      </c>
    </row>
    <row r="263" spans="1:8" outlineLevel="5">
      <c r="A263" s="9" t="s">
        <v>207</v>
      </c>
      <c r="B263" s="10" t="s">
        <v>42</v>
      </c>
      <c r="C263" s="10" t="s">
        <v>166</v>
      </c>
      <c r="D263" s="10" t="s">
        <v>212</v>
      </c>
      <c r="E263" s="10" t="s">
        <v>208</v>
      </c>
      <c r="F263" s="11">
        <f>13500000+9925587.6+9711130.46+1288869.54</f>
        <v>34425587.600000001</v>
      </c>
      <c r="G263" s="11">
        <f>13500000+9925587.6+9711130.46+1288869.54</f>
        <v>34425587.600000001</v>
      </c>
      <c r="H263" s="71">
        <f t="shared" si="43"/>
        <v>100</v>
      </c>
    </row>
    <row r="264" spans="1:8" ht="47.25" outlineLevel="5">
      <c r="A264" s="9" t="s">
        <v>213</v>
      </c>
      <c r="B264" s="10" t="s">
        <v>42</v>
      </c>
      <c r="C264" s="10" t="s">
        <v>166</v>
      </c>
      <c r="D264" s="10" t="s">
        <v>214</v>
      </c>
      <c r="E264" s="10" t="s">
        <v>8</v>
      </c>
      <c r="F264" s="17">
        <f t="shared" ref="F264:G265" si="44">F265</f>
        <v>95648426.019999996</v>
      </c>
      <c r="G264" s="17">
        <f t="shared" si="44"/>
        <v>93950683.120000005</v>
      </c>
      <c r="H264" s="71">
        <f t="shared" si="43"/>
        <v>98.225017419894613</v>
      </c>
    </row>
    <row r="265" spans="1:8" ht="31.5" outlineLevel="5">
      <c r="A265" s="9" t="s">
        <v>25</v>
      </c>
      <c r="B265" s="10" t="s">
        <v>42</v>
      </c>
      <c r="C265" s="10" t="s">
        <v>166</v>
      </c>
      <c r="D265" s="10" t="s">
        <v>214</v>
      </c>
      <c r="E265" s="10" t="s">
        <v>26</v>
      </c>
      <c r="F265" s="17">
        <f t="shared" si="44"/>
        <v>95648426.019999996</v>
      </c>
      <c r="G265" s="17">
        <f t="shared" si="44"/>
        <v>93950683.120000005</v>
      </c>
      <c r="H265" s="71">
        <f t="shared" si="43"/>
        <v>98.225017419894613</v>
      </c>
    </row>
    <row r="266" spans="1:8" ht="31.5" outlineLevel="5">
      <c r="A266" s="9" t="s">
        <v>27</v>
      </c>
      <c r="B266" s="10" t="s">
        <v>42</v>
      </c>
      <c r="C266" s="10" t="s">
        <v>166</v>
      </c>
      <c r="D266" s="10" t="s">
        <v>214</v>
      </c>
      <c r="E266" s="10" t="s">
        <v>28</v>
      </c>
      <c r="F266" s="17">
        <f>2869452.78+25000000+67778973.24</f>
        <v>95648426.019999996</v>
      </c>
      <c r="G266" s="72">
        <v>93950683.120000005</v>
      </c>
      <c r="H266" s="71">
        <f t="shared" si="43"/>
        <v>98.225017419894613</v>
      </c>
    </row>
    <row r="267" spans="1:8" ht="31.5" outlineLevel="5">
      <c r="A267" s="9" t="s">
        <v>215</v>
      </c>
      <c r="B267" s="10" t="s">
        <v>42</v>
      </c>
      <c r="C267" s="10" t="s">
        <v>166</v>
      </c>
      <c r="D267" s="10" t="s">
        <v>216</v>
      </c>
      <c r="E267" s="10" t="s">
        <v>8</v>
      </c>
      <c r="F267" s="17">
        <f t="shared" ref="F267:G269" si="45">F268</f>
        <v>1330100</v>
      </c>
      <c r="G267" s="17">
        <f t="shared" si="45"/>
        <v>1330100</v>
      </c>
      <c r="H267" s="71">
        <f t="shared" si="43"/>
        <v>100</v>
      </c>
    </row>
    <row r="268" spans="1:8" ht="31.5" outlineLevel="5">
      <c r="A268" s="9" t="s">
        <v>199</v>
      </c>
      <c r="B268" s="10" t="s">
        <v>42</v>
      </c>
      <c r="C268" s="10" t="s">
        <v>166</v>
      </c>
      <c r="D268" s="10" t="s">
        <v>217</v>
      </c>
      <c r="E268" s="10" t="s">
        <v>8</v>
      </c>
      <c r="F268" s="17">
        <f t="shared" si="45"/>
        <v>1330100</v>
      </c>
      <c r="G268" s="17">
        <f t="shared" si="45"/>
        <v>1330100</v>
      </c>
      <c r="H268" s="71">
        <f t="shared" si="43"/>
        <v>100</v>
      </c>
    </row>
    <row r="269" spans="1:8" ht="31.5" outlineLevel="5">
      <c r="A269" s="9" t="s">
        <v>25</v>
      </c>
      <c r="B269" s="10" t="s">
        <v>42</v>
      </c>
      <c r="C269" s="10" t="s">
        <v>166</v>
      </c>
      <c r="D269" s="10" t="s">
        <v>217</v>
      </c>
      <c r="E269" s="10" t="s">
        <v>26</v>
      </c>
      <c r="F269" s="17">
        <f t="shared" si="45"/>
        <v>1330100</v>
      </c>
      <c r="G269" s="17">
        <f t="shared" si="45"/>
        <v>1330100</v>
      </c>
      <c r="H269" s="71">
        <f t="shared" si="43"/>
        <v>100</v>
      </c>
    </row>
    <row r="270" spans="1:8" ht="31.5" outlineLevel="5">
      <c r="A270" s="9" t="s">
        <v>27</v>
      </c>
      <c r="B270" s="10" t="s">
        <v>42</v>
      </c>
      <c r="C270" s="10" t="s">
        <v>166</v>
      </c>
      <c r="D270" s="10" t="s">
        <v>217</v>
      </c>
      <c r="E270" s="10" t="s">
        <v>28</v>
      </c>
      <c r="F270" s="17">
        <f>1415000-84900</f>
        <v>1330100</v>
      </c>
      <c r="G270" s="17">
        <f>1415000-84900</f>
        <v>1330100</v>
      </c>
      <c r="H270" s="71">
        <f t="shared" si="43"/>
        <v>100</v>
      </c>
    </row>
    <row r="271" spans="1:8" ht="31.5" outlineLevel="5">
      <c r="A271" s="9" t="s">
        <v>134</v>
      </c>
      <c r="B271" s="10" t="s">
        <v>42</v>
      </c>
      <c r="C271" s="10" t="s">
        <v>166</v>
      </c>
      <c r="D271" s="10" t="s">
        <v>135</v>
      </c>
      <c r="E271" s="10" t="s">
        <v>8</v>
      </c>
      <c r="F271" s="17">
        <f t="shared" ref="F271:G274" si="46">F272</f>
        <v>3000000</v>
      </c>
      <c r="G271" s="17">
        <f t="shared" si="46"/>
        <v>3000000</v>
      </c>
      <c r="H271" s="71">
        <f t="shared" si="43"/>
        <v>100</v>
      </c>
    </row>
    <row r="272" spans="1:8" ht="31.5" outlineLevel="5">
      <c r="A272" s="9" t="s">
        <v>136</v>
      </c>
      <c r="B272" s="10" t="s">
        <v>42</v>
      </c>
      <c r="C272" s="10" t="s">
        <v>166</v>
      </c>
      <c r="D272" s="10" t="s">
        <v>137</v>
      </c>
      <c r="E272" s="10" t="s">
        <v>8</v>
      </c>
      <c r="F272" s="17">
        <f t="shared" si="46"/>
        <v>3000000</v>
      </c>
      <c r="G272" s="17">
        <f t="shared" si="46"/>
        <v>3000000</v>
      </c>
      <c r="H272" s="71">
        <f t="shared" si="43"/>
        <v>100</v>
      </c>
    </row>
    <row r="273" spans="1:8" ht="31.5" outlineLevel="5">
      <c r="A273" s="9" t="s">
        <v>218</v>
      </c>
      <c r="B273" s="10" t="s">
        <v>42</v>
      </c>
      <c r="C273" s="10" t="s">
        <v>166</v>
      </c>
      <c r="D273" s="10" t="s">
        <v>219</v>
      </c>
      <c r="E273" s="10" t="s">
        <v>8</v>
      </c>
      <c r="F273" s="17">
        <f t="shared" si="46"/>
        <v>3000000</v>
      </c>
      <c r="G273" s="17">
        <f t="shared" si="46"/>
        <v>3000000</v>
      </c>
      <c r="H273" s="71">
        <f t="shared" si="43"/>
        <v>100</v>
      </c>
    </row>
    <row r="274" spans="1:8" ht="31.5" outlineLevel="5">
      <c r="A274" s="9" t="s">
        <v>25</v>
      </c>
      <c r="B274" s="10" t="s">
        <v>42</v>
      </c>
      <c r="C274" s="10" t="s">
        <v>166</v>
      </c>
      <c r="D274" s="10" t="s">
        <v>219</v>
      </c>
      <c r="E274" s="10" t="s">
        <v>26</v>
      </c>
      <c r="F274" s="17">
        <f t="shared" si="46"/>
        <v>3000000</v>
      </c>
      <c r="G274" s="17">
        <f t="shared" si="46"/>
        <v>3000000</v>
      </c>
      <c r="H274" s="71">
        <f t="shared" si="43"/>
        <v>100</v>
      </c>
    </row>
    <row r="275" spans="1:8" ht="31.5" outlineLevel="5">
      <c r="A275" s="9" t="s">
        <v>27</v>
      </c>
      <c r="B275" s="10" t="s">
        <v>42</v>
      </c>
      <c r="C275" s="10" t="s">
        <v>166</v>
      </c>
      <c r="D275" s="10" t="s">
        <v>219</v>
      </c>
      <c r="E275" s="10" t="s">
        <v>28</v>
      </c>
      <c r="F275" s="17">
        <v>3000000</v>
      </c>
      <c r="G275" s="17">
        <v>3000000</v>
      </c>
      <c r="H275" s="71">
        <f t="shared" si="43"/>
        <v>100</v>
      </c>
    </row>
    <row r="276" spans="1:8" outlineLevel="5">
      <c r="A276" s="9" t="s">
        <v>220</v>
      </c>
      <c r="B276" s="10" t="s">
        <v>42</v>
      </c>
      <c r="C276" s="10" t="s">
        <v>171</v>
      </c>
      <c r="D276" s="10" t="s">
        <v>7</v>
      </c>
      <c r="E276" s="10" t="s">
        <v>8</v>
      </c>
      <c r="F276" s="17">
        <f t="shared" ref="F276:G280" si="47">F277</f>
        <v>9620000</v>
      </c>
      <c r="G276" s="17">
        <f t="shared" si="47"/>
        <v>9620000</v>
      </c>
      <c r="H276" s="71">
        <f t="shared" si="43"/>
        <v>100</v>
      </c>
    </row>
    <row r="277" spans="1:8" ht="78.75" outlineLevel="5">
      <c r="A277" s="9" t="s">
        <v>221</v>
      </c>
      <c r="B277" s="10" t="s">
        <v>42</v>
      </c>
      <c r="C277" s="10" t="s">
        <v>171</v>
      </c>
      <c r="D277" s="10" t="s">
        <v>222</v>
      </c>
      <c r="E277" s="10" t="s">
        <v>8</v>
      </c>
      <c r="F277" s="11">
        <f t="shared" si="47"/>
        <v>9620000</v>
      </c>
      <c r="G277" s="11">
        <f t="shared" si="47"/>
        <v>9620000</v>
      </c>
      <c r="H277" s="71">
        <f t="shared" si="43"/>
        <v>100</v>
      </c>
    </row>
    <row r="278" spans="1:8" ht="78.75" outlineLevel="5">
      <c r="A278" s="9" t="s">
        <v>223</v>
      </c>
      <c r="B278" s="10" t="s">
        <v>42</v>
      </c>
      <c r="C278" s="10" t="s">
        <v>171</v>
      </c>
      <c r="D278" s="10" t="s">
        <v>224</v>
      </c>
      <c r="E278" s="10" t="s">
        <v>8</v>
      </c>
      <c r="F278" s="11">
        <f t="shared" si="47"/>
        <v>9620000</v>
      </c>
      <c r="G278" s="11">
        <f t="shared" si="47"/>
        <v>9620000</v>
      </c>
      <c r="H278" s="71">
        <f t="shared" si="43"/>
        <v>100</v>
      </c>
    </row>
    <row r="279" spans="1:8" ht="31.5" outlineLevel="5">
      <c r="A279" s="9" t="s">
        <v>225</v>
      </c>
      <c r="B279" s="10" t="s">
        <v>42</v>
      </c>
      <c r="C279" s="10" t="s">
        <v>171</v>
      </c>
      <c r="D279" s="10" t="s">
        <v>226</v>
      </c>
      <c r="E279" s="10" t="s">
        <v>8</v>
      </c>
      <c r="F279" s="11">
        <f t="shared" si="47"/>
        <v>9620000</v>
      </c>
      <c r="G279" s="11">
        <f t="shared" si="47"/>
        <v>9620000</v>
      </c>
      <c r="H279" s="71">
        <f t="shared" si="43"/>
        <v>100</v>
      </c>
    </row>
    <row r="280" spans="1:8" ht="31.5" outlineLevel="5">
      <c r="A280" s="9" t="s">
        <v>25</v>
      </c>
      <c r="B280" s="10" t="s">
        <v>42</v>
      </c>
      <c r="C280" s="10" t="s">
        <v>171</v>
      </c>
      <c r="D280" s="10" t="s">
        <v>226</v>
      </c>
      <c r="E280" s="10" t="s">
        <v>26</v>
      </c>
      <c r="F280" s="11">
        <f t="shared" si="47"/>
        <v>9620000</v>
      </c>
      <c r="G280" s="11">
        <f t="shared" si="47"/>
        <v>9620000</v>
      </c>
      <c r="H280" s="71">
        <f t="shared" si="43"/>
        <v>100</v>
      </c>
    </row>
    <row r="281" spans="1:8" ht="31.5" outlineLevel="5">
      <c r="A281" s="9" t="s">
        <v>27</v>
      </c>
      <c r="B281" s="10" t="s">
        <v>42</v>
      </c>
      <c r="C281" s="10" t="s">
        <v>171</v>
      </c>
      <c r="D281" s="10" t="s">
        <v>226</v>
      </c>
      <c r="E281" s="10" t="s">
        <v>28</v>
      </c>
      <c r="F281" s="11">
        <f>1924000+7696000</f>
        <v>9620000</v>
      </c>
      <c r="G281" s="11">
        <f>1924000+7696000</f>
        <v>9620000</v>
      </c>
      <c r="H281" s="71">
        <f t="shared" si="43"/>
        <v>100</v>
      </c>
    </row>
    <row r="282" spans="1:8" outlineLevel="5">
      <c r="A282" s="9" t="s">
        <v>227</v>
      </c>
      <c r="B282" s="10" t="s">
        <v>42</v>
      </c>
      <c r="C282" s="10" t="s">
        <v>228</v>
      </c>
      <c r="D282" s="10" t="s">
        <v>7</v>
      </c>
      <c r="E282" s="10" t="s">
        <v>8</v>
      </c>
      <c r="F282" s="11">
        <f>F283+F294</f>
        <v>6923226</v>
      </c>
      <c r="G282" s="11">
        <f>G283+G294</f>
        <v>4238801</v>
      </c>
      <c r="H282" s="71">
        <f t="shared" si="43"/>
        <v>61.225807159841381</v>
      </c>
    </row>
    <row r="283" spans="1:8" ht="31.5" outlineLevel="5">
      <c r="A283" s="18" t="s">
        <v>88</v>
      </c>
      <c r="B283" s="10" t="s">
        <v>42</v>
      </c>
      <c r="C283" s="10" t="s">
        <v>228</v>
      </c>
      <c r="D283" s="10" t="s">
        <v>89</v>
      </c>
      <c r="E283" s="10" t="s">
        <v>8</v>
      </c>
      <c r="F283" s="17">
        <f>F284</f>
        <v>6575726</v>
      </c>
      <c r="G283" s="17">
        <f>G284</f>
        <v>3891301</v>
      </c>
      <c r="H283" s="71">
        <f t="shared" si="43"/>
        <v>59.176750977762758</v>
      </c>
    </row>
    <row r="284" spans="1:8" ht="33.75" customHeight="1" outlineLevel="5">
      <c r="A284" s="18" t="s">
        <v>90</v>
      </c>
      <c r="B284" s="10" t="s">
        <v>42</v>
      </c>
      <c r="C284" s="10" t="s">
        <v>228</v>
      </c>
      <c r="D284" s="10" t="s">
        <v>91</v>
      </c>
      <c r="E284" s="10" t="s">
        <v>8</v>
      </c>
      <c r="F284" s="17">
        <f>F285+F288+F291</f>
        <v>6575726</v>
      </c>
      <c r="G284" s="17">
        <f>G285+G288+G291</f>
        <v>3891301</v>
      </c>
      <c r="H284" s="71">
        <f t="shared" si="43"/>
        <v>59.176750977762758</v>
      </c>
    </row>
    <row r="285" spans="1:8" outlineLevel="5">
      <c r="A285" s="9" t="s">
        <v>229</v>
      </c>
      <c r="B285" s="10" t="s">
        <v>42</v>
      </c>
      <c r="C285" s="10" t="s">
        <v>228</v>
      </c>
      <c r="D285" s="10" t="s">
        <v>230</v>
      </c>
      <c r="E285" s="10" t="s">
        <v>8</v>
      </c>
      <c r="F285" s="17">
        <f t="shared" ref="F285:G286" si="48">F286</f>
        <v>3876601</v>
      </c>
      <c r="G285" s="17">
        <f t="shared" si="48"/>
        <v>2052601</v>
      </c>
      <c r="H285" s="71">
        <f t="shared" si="43"/>
        <v>52.948472128031746</v>
      </c>
    </row>
    <row r="286" spans="1:8" ht="31.5" outlineLevel="5">
      <c r="A286" s="9" t="s">
        <v>25</v>
      </c>
      <c r="B286" s="10" t="s">
        <v>42</v>
      </c>
      <c r="C286" s="10" t="s">
        <v>228</v>
      </c>
      <c r="D286" s="10" t="s">
        <v>230</v>
      </c>
      <c r="E286" s="10" t="s">
        <v>26</v>
      </c>
      <c r="F286" s="17">
        <f t="shared" si="48"/>
        <v>3876601</v>
      </c>
      <c r="G286" s="17">
        <f t="shared" si="48"/>
        <v>2052601</v>
      </c>
      <c r="H286" s="71">
        <f t="shared" si="43"/>
        <v>52.948472128031746</v>
      </c>
    </row>
    <row r="287" spans="1:8" ht="31.5" outlineLevel="5">
      <c r="A287" s="12" t="s">
        <v>27</v>
      </c>
      <c r="B287" s="13" t="s">
        <v>42</v>
      </c>
      <c r="C287" s="13" t="s">
        <v>228</v>
      </c>
      <c r="D287" s="13" t="s">
        <v>230</v>
      </c>
      <c r="E287" s="13" t="s">
        <v>28</v>
      </c>
      <c r="F287" s="16">
        <f>6000000+3000000-5776000+320091+4010+322500+6000</f>
        <v>3876601</v>
      </c>
      <c r="G287" s="72">
        <v>2052601</v>
      </c>
      <c r="H287" s="71">
        <f t="shared" si="43"/>
        <v>52.948472128031746</v>
      </c>
    </row>
    <row r="288" spans="1:8" ht="31.5" outlineLevel="5">
      <c r="A288" s="9" t="s">
        <v>231</v>
      </c>
      <c r="B288" s="10" t="s">
        <v>42</v>
      </c>
      <c r="C288" s="10" t="s">
        <v>228</v>
      </c>
      <c r="D288" s="10" t="s">
        <v>232</v>
      </c>
      <c r="E288" s="10" t="s">
        <v>8</v>
      </c>
      <c r="F288" s="17">
        <f t="shared" ref="F288:G289" si="49">F289</f>
        <v>65000</v>
      </c>
      <c r="G288" s="17">
        <f t="shared" si="49"/>
        <v>65000</v>
      </c>
      <c r="H288" s="71">
        <f t="shared" si="43"/>
        <v>100</v>
      </c>
    </row>
    <row r="289" spans="1:8" ht="31.5" outlineLevel="5">
      <c r="A289" s="9" t="s">
        <v>25</v>
      </c>
      <c r="B289" s="10" t="s">
        <v>42</v>
      </c>
      <c r="C289" s="10" t="s">
        <v>228</v>
      </c>
      <c r="D289" s="10" t="s">
        <v>232</v>
      </c>
      <c r="E289" s="10" t="s">
        <v>26</v>
      </c>
      <c r="F289" s="17">
        <f t="shared" si="49"/>
        <v>65000</v>
      </c>
      <c r="G289" s="17">
        <f t="shared" si="49"/>
        <v>65000</v>
      </c>
      <c r="H289" s="71">
        <f t="shared" si="43"/>
        <v>100</v>
      </c>
    </row>
    <row r="290" spans="1:8" ht="31.5" outlineLevel="5">
      <c r="A290" s="9" t="s">
        <v>27</v>
      </c>
      <c r="B290" s="10" t="s">
        <v>42</v>
      </c>
      <c r="C290" s="10" t="s">
        <v>228</v>
      </c>
      <c r="D290" s="10" t="s">
        <v>232</v>
      </c>
      <c r="E290" s="10" t="s">
        <v>28</v>
      </c>
      <c r="F290" s="17">
        <v>65000</v>
      </c>
      <c r="G290" s="72">
        <v>65000</v>
      </c>
      <c r="H290" s="71">
        <f t="shared" si="43"/>
        <v>100</v>
      </c>
    </row>
    <row r="291" spans="1:8" ht="47.25" outlineLevel="5">
      <c r="A291" s="9" t="s">
        <v>233</v>
      </c>
      <c r="B291" s="10" t="s">
        <v>42</v>
      </c>
      <c r="C291" s="10" t="s">
        <v>228</v>
      </c>
      <c r="D291" s="10" t="s">
        <v>234</v>
      </c>
      <c r="E291" s="10" t="s">
        <v>8</v>
      </c>
      <c r="F291" s="17">
        <f t="shared" ref="F291:G292" si="50">F292</f>
        <v>2634125</v>
      </c>
      <c r="G291" s="17">
        <f t="shared" si="50"/>
        <v>1773700</v>
      </c>
      <c r="H291" s="71">
        <f t="shared" si="43"/>
        <v>67.335452949271584</v>
      </c>
    </row>
    <row r="292" spans="1:8" ht="31.5" outlineLevel="5">
      <c r="A292" s="9" t="s">
        <v>25</v>
      </c>
      <c r="B292" s="10" t="s">
        <v>42</v>
      </c>
      <c r="C292" s="10" t="s">
        <v>228</v>
      </c>
      <c r="D292" s="10" t="s">
        <v>234</v>
      </c>
      <c r="E292" s="10" t="s">
        <v>26</v>
      </c>
      <c r="F292" s="17">
        <f t="shared" si="50"/>
        <v>2634125</v>
      </c>
      <c r="G292" s="17">
        <f t="shared" si="50"/>
        <v>1773700</v>
      </c>
      <c r="H292" s="71">
        <f t="shared" si="43"/>
        <v>67.335452949271584</v>
      </c>
    </row>
    <row r="293" spans="1:8" ht="31.5" outlineLevel="5">
      <c r="A293" s="9" t="s">
        <v>27</v>
      </c>
      <c r="B293" s="10" t="s">
        <v>42</v>
      </c>
      <c r="C293" s="10" t="s">
        <v>228</v>
      </c>
      <c r="D293" s="10" t="s">
        <v>234</v>
      </c>
      <c r="E293" s="10" t="s">
        <v>28</v>
      </c>
      <c r="F293" s="17">
        <f>2555101.25+79023.75</f>
        <v>2634125</v>
      </c>
      <c r="G293" s="72">
        <v>1773700</v>
      </c>
      <c r="H293" s="71">
        <f t="shared" si="43"/>
        <v>67.335452949271584</v>
      </c>
    </row>
    <row r="294" spans="1:8" ht="47.25" outlineLevel="5">
      <c r="A294" s="9" t="s">
        <v>235</v>
      </c>
      <c r="B294" s="10" t="s">
        <v>42</v>
      </c>
      <c r="C294" s="10" t="s">
        <v>228</v>
      </c>
      <c r="D294" s="10" t="s">
        <v>236</v>
      </c>
      <c r="E294" s="10" t="s">
        <v>8</v>
      </c>
      <c r="F294" s="17">
        <f t="shared" ref="F294:G295" si="51">F295</f>
        <v>347500</v>
      </c>
      <c r="G294" s="17">
        <f t="shared" si="51"/>
        <v>347500</v>
      </c>
      <c r="H294" s="71">
        <f t="shared" si="43"/>
        <v>100</v>
      </c>
    </row>
    <row r="295" spans="1:8" ht="47.25" outlineLevel="5">
      <c r="A295" s="9" t="s">
        <v>237</v>
      </c>
      <c r="B295" s="10" t="s">
        <v>42</v>
      </c>
      <c r="C295" s="10" t="s">
        <v>228</v>
      </c>
      <c r="D295" s="10" t="s">
        <v>238</v>
      </c>
      <c r="E295" s="10" t="s">
        <v>8</v>
      </c>
      <c r="F295" s="17">
        <f t="shared" si="51"/>
        <v>347500</v>
      </c>
      <c r="G295" s="17">
        <f t="shared" si="51"/>
        <v>347500</v>
      </c>
      <c r="H295" s="71">
        <f t="shared" si="43"/>
        <v>100</v>
      </c>
    </row>
    <row r="296" spans="1:8" ht="31.5" outlineLevel="5">
      <c r="A296" s="9" t="s">
        <v>239</v>
      </c>
      <c r="B296" s="10" t="s">
        <v>42</v>
      </c>
      <c r="C296" s="10" t="s">
        <v>228</v>
      </c>
      <c r="D296" s="10" t="s">
        <v>240</v>
      </c>
      <c r="E296" s="10" t="s">
        <v>8</v>
      </c>
      <c r="F296" s="17">
        <f>F297+F299</f>
        <v>347500</v>
      </c>
      <c r="G296" s="17">
        <f>G297+G299</f>
        <v>347500</v>
      </c>
      <c r="H296" s="71">
        <f t="shared" si="43"/>
        <v>100</v>
      </c>
    </row>
    <row r="297" spans="1:8" ht="31.5" outlineLevel="5">
      <c r="A297" s="9" t="s">
        <v>25</v>
      </c>
      <c r="B297" s="10" t="s">
        <v>42</v>
      </c>
      <c r="C297" s="10" t="s">
        <v>228</v>
      </c>
      <c r="D297" s="10" t="s">
        <v>240</v>
      </c>
      <c r="E297" s="10" t="s">
        <v>26</v>
      </c>
      <c r="F297" s="17">
        <f>F298</f>
        <v>247500</v>
      </c>
      <c r="G297" s="17">
        <f>G298</f>
        <v>247500</v>
      </c>
      <c r="H297" s="71">
        <f t="shared" si="43"/>
        <v>100</v>
      </c>
    </row>
    <row r="298" spans="1:8" ht="31.5" outlineLevel="5">
      <c r="A298" s="12" t="s">
        <v>27</v>
      </c>
      <c r="B298" s="13" t="s">
        <v>42</v>
      </c>
      <c r="C298" s="13" t="s">
        <v>228</v>
      </c>
      <c r="D298" s="13" t="s">
        <v>240</v>
      </c>
      <c r="E298" s="13" t="s">
        <v>28</v>
      </c>
      <c r="F298" s="16">
        <f>381500-134000</f>
        <v>247500</v>
      </c>
      <c r="G298" s="16">
        <f>381500-134000</f>
        <v>247500</v>
      </c>
      <c r="H298" s="71">
        <f t="shared" si="43"/>
        <v>100</v>
      </c>
    </row>
    <row r="299" spans="1:8" outlineLevel="5">
      <c r="A299" s="9" t="s">
        <v>35</v>
      </c>
      <c r="B299" s="10" t="s">
        <v>42</v>
      </c>
      <c r="C299" s="10" t="s">
        <v>228</v>
      </c>
      <c r="D299" s="10" t="s">
        <v>240</v>
      </c>
      <c r="E299" s="10" t="s">
        <v>36</v>
      </c>
      <c r="F299" s="17">
        <f>F300</f>
        <v>100000</v>
      </c>
      <c r="G299" s="17">
        <f>G300</f>
        <v>100000</v>
      </c>
      <c r="H299" s="71">
        <f t="shared" si="43"/>
        <v>100</v>
      </c>
    </row>
    <row r="300" spans="1:8" ht="47.25" outlineLevel="5">
      <c r="A300" s="9" t="s">
        <v>182</v>
      </c>
      <c r="B300" s="10" t="s">
        <v>42</v>
      </c>
      <c r="C300" s="10" t="s">
        <v>228</v>
      </c>
      <c r="D300" s="10" t="s">
        <v>240</v>
      </c>
      <c r="E300" s="10" t="s">
        <v>183</v>
      </c>
      <c r="F300" s="17">
        <v>100000</v>
      </c>
      <c r="G300" s="17">
        <v>100000</v>
      </c>
      <c r="H300" s="71">
        <f t="shared" si="43"/>
        <v>100</v>
      </c>
    </row>
    <row r="301" spans="1:8" s="3" customFormat="1">
      <c r="A301" s="6" t="s">
        <v>241</v>
      </c>
      <c r="B301" s="7" t="s">
        <v>44</v>
      </c>
      <c r="C301" s="7" t="s">
        <v>6</v>
      </c>
      <c r="D301" s="7" t="s">
        <v>7</v>
      </c>
      <c r="E301" s="7" t="s">
        <v>8</v>
      </c>
      <c r="F301" s="8">
        <f>F302+F329+F356+F403</f>
        <v>156022825.20999998</v>
      </c>
      <c r="G301" s="8">
        <f>G302+G329+G356+G403</f>
        <v>149048080.94</v>
      </c>
      <c r="H301" s="70">
        <f t="shared" si="43"/>
        <v>95.529664162527325</v>
      </c>
    </row>
    <row r="302" spans="1:8" s="3" customFormat="1">
      <c r="A302" s="9" t="s">
        <v>242</v>
      </c>
      <c r="B302" s="10" t="s">
        <v>44</v>
      </c>
      <c r="C302" s="10" t="s">
        <v>5</v>
      </c>
      <c r="D302" s="10" t="s">
        <v>7</v>
      </c>
      <c r="E302" s="10" t="s">
        <v>8</v>
      </c>
      <c r="F302" s="11">
        <f t="shared" ref="F302:G303" si="52">F303</f>
        <v>14626238.689999999</v>
      </c>
      <c r="G302" s="11">
        <f t="shared" si="52"/>
        <v>14084109.530000001</v>
      </c>
      <c r="H302" s="71">
        <f t="shared" si="43"/>
        <v>96.293447881644013</v>
      </c>
    </row>
    <row r="303" spans="1:8" s="3" customFormat="1" ht="78.75">
      <c r="A303" s="9" t="s">
        <v>243</v>
      </c>
      <c r="B303" s="10" t="s">
        <v>44</v>
      </c>
      <c r="C303" s="10" t="s">
        <v>5</v>
      </c>
      <c r="D303" s="10" t="s">
        <v>244</v>
      </c>
      <c r="E303" s="10" t="s">
        <v>8</v>
      </c>
      <c r="F303" s="11">
        <f t="shared" si="52"/>
        <v>14626238.689999999</v>
      </c>
      <c r="G303" s="11">
        <f t="shared" si="52"/>
        <v>14084109.530000001</v>
      </c>
      <c r="H303" s="71">
        <f t="shared" si="43"/>
        <v>96.293447881644013</v>
      </c>
    </row>
    <row r="304" spans="1:8" s="3" customFormat="1" ht="78.75">
      <c r="A304" s="9" t="s">
        <v>245</v>
      </c>
      <c r="B304" s="10" t="s">
        <v>44</v>
      </c>
      <c r="C304" s="10" t="s">
        <v>5</v>
      </c>
      <c r="D304" s="10" t="s">
        <v>246</v>
      </c>
      <c r="E304" s="10" t="s">
        <v>8</v>
      </c>
      <c r="F304" s="11">
        <f>F305+F308+F311+F314+F317+F320+F323+F326</f>
        <v>14626238.689999999</v>
      </c>
      <c r="G304" s="11">
        <f>G305+G308+G311+G314+G317+G320+G323+G326</f>
        <v>14084109.530000001</v>
      </c>
      <c r="H304" s="71">
        <f t="shared" si="43"/>
        <v>96.293447881644013</v>
      </c>
    </row>
    <row r="305" spans="1:8" s="3" customFormat="1" ht="31.5">
      <c r="A305" s="40" t="s">
        <v>247</v>
      </c>
      <c r="B305" s="10" t="s">
        <v>44</v>
      </c>
      <c r="C305" s="10" t="s">
        <v>5</v>
      </c>
      <c r="D305" s="10" t="s">
        <v>248</v>
      </c>
      <c r="E305" s="10" t="s">
        <v>8</v>
      </c>
      <c r="F305" s="11">
        <f t="shared" ref="F305:G306" si="53">F306</f>
        <v>5070830.4399999995</v>
      </c>
      <c r="G305" s="11">
        <f t="shared" si="53"/>
        <v>4629485.28</v>
      </c>
      <c r="H305" s="71">
        <f t="shared" si="43"/>
        <v>91.29639286459755</v>
      </c>
    </row>
    <row r="306" spans="1:8" s="3" customFormat="1" ht="31.5">
      <c r="A306" s="9" t="s">
        <v>25</v>
      </c>
      <c r="B306" s="10" t="s">
        <v>44</v>
      </c>
      <c r="C306" s="10" t="s">
        <v>5</v>
      </c>
      <c r="D306" s="10" t="s">
        <v>248</v>
      </c>
      <c r="E306" s="10" t="s">
        <v>26</v>
      </c>
      <c r="F306" s="11">
        <f t="shared" si="53"/>
        <v>5070830.4399999995</v>
      </c>
      <c r="G306" s="11">
        <f t="shared" si="53"/>
        <v>4629485.28</v>
      </c>
      <c r="H306" s="71">
        <f t="shared" si="43"/>
        <v>91.29639286459755</v>
      </c>
    </row>
    <row r="307" spans="1:8" s="3" customFormat="1" ht="31.5">
      <c r="A307" s="9" t="s">
        <v>27</v>
      </c>
      <c r="B307" s="10" t="s">
        <v>44</v>
      </c>
      <c r="C307" s="10" t="s">
        <v>5</v>
      </c>
      <c r="D307" s="10" t="s">
        <v>248</v>
      </c>
      <c r="E307" s="10" t="s">
        <v>28</v>
      </c>
      <c r="F307" s="11">
        <f>1650000-726.1+351633.54+160000+1500000+99000+111241+1199682</f>
        <v>5070830.4399999995</v>
      </c>
      <c r="G307" s="72">
        <v>4629485.28</v>
      </c>
      <c r="H307" s="71">
        <f t="shared" si="43"/>
        <v>91.29639286459755</v>
      </c>
    </row>
    <row r="308" spans="1:8" s="3" customFormat="1" ht="31.5">
      <c r="A308" s="9" t="s">
        <v>141</v>
      </c>
      <c r="B308" s="10" t="s">
        <v>44</v>
      </c>
      <c r="C308" s="10" t="s">
        <v>5</v>
      </c>
      <c r="D308" s="10" t="s">
        <v>249</v>
      </c>
      <c r="E308" s="10" t="s">
        <v>8</v>
      </c>
      <c r="F308" s="11">
        <f t="shared" ref="F308:G309" si="54">F309</f>
        <v>50000</v>
      </c>
      <c r="G308" s="11">
        <f t="shared" si="54"/>
        <v>50000</v>
      </c>
      <c r="H308" s="71">
        <f t="shared" si="43"/>
        <v>100</v>
      </c>
    </row>
    <row r="309" spans="1:8" s="3" customFormat="1">
      <c r="A309" s="9" t="s">
        <v>35</v>
      </c>
      <c r="B309" s="10" t="s">
        <v>44</v>
      </c>
      <c r="C309" s="10" t="s">
        <v>5</v>
      </c>
      <c r="D309" s="10" t="s">
        <v>249</v>
      </c>
      <c r="E309" s="10" t="s">
        <v>36</v>
      </c>
      <c r="F309" s="11">
        <f t="shared" si="54"/>
        <v>50000</v>
      </c>
      <c r="G309" s="11">
        <f t="shared" si="54"/>
        <v>50000</v>
      </c>
      <c r="H309" s="71">
        <f t="shared" si="43"/>
        <v>100</v>
      </c>
    </row>
    <row r="310" spans="1:8" s="3" customFormat="1">
      <c r="A310" s="9" t="s">
        <v>143</v>
      </c>
      <c r="B310" s="10" t="s">
        <v>44</v>
      </c>
      <c r="C310" s="10" t="s">
        <v>5</v>
      </c>
      <c r="D310" s="10" t="s">
        <v>249</v>
      </c>
      <c r="E310" s="10" t="s">
        <v>144</v>
      </c>
      <c r="F310" s="11">
        <v>50000</v>
      </c>
      <c r="G310" s="11">
        <v>50000</v>
      </c>
      <c r="H310" s="71">
        <f t="shared" si="43"/>
        <v>100</v>
      </c>
    </row>
    <row r="311" spans="1:8" s="3" customFormat="1" ht="31.5">
      <c r="A311" s="9" t="s">
        <v>94</v>
      </c>
      <c r="B311" s="10" t="s">
        <v>44</v>
      </c>
      <c r="C311" s="10" t="s">
        <v>5</v>
      </c>
      <c r="D311" s="10" t="s">
        <v>250</v>
      </c>
      <c r="E311" s="10" t="s">
        <v>8</v>
      </c>
      <c r="F311" s="11">
        <f t="shared" ref="F311:G312" si="55">F312</f>
        <v>100784</v>
      </c>
      <c r="G311" s="11">
        <f t="shared" si="55"/>
        <v>0</v>
      </c>
      <c r="H311" s="71">
        <f t="shared" si="43"/>
        <v>0</v>
      </c>
    </row>
    <row r="312" spans="1:8" s="3" customFormat="1" ht="31.5">
      <c r="A312" s="9" t="s">
        <v>25</v>
      </c>
      <c r="B312" s="10" t="s">
        <v>44</v>
      </c>
      <c r="C312" s="10" t="s">
        <v>5</v>
      </c>
      <c r="D312" s="10" t="s">
        <v>250</v>
      </c>
      <c r="E312" s="10" t="s">
        <v>26</v>
      </c>
      <c r="F312" s="11">
        <f t="shared" si="55"/>
        <v>100784</v>
      </c>
      <c r="G312" s="11">
        <f t="shared" si="55"/>
        <v>0</v>
      </c>
      <c r="H312" s="71">
        <f t="shared" si="43"/>
        <v>0</v>
      </c>
    </row>
    <row r="313" spans="1:8" s="3" customFormat="1" ht="31.5">
      <c r="A313" s="9" t="s">
        <v>27</v>
      </c>
      <c r="B313" s="10" t="s">
        <v>44</v>
      </c>
      <c r="C313" s="10" t="s">
        <v>5</v>
      </c>
      <c r="D313" s="10" t="s">
        <v>250</v>
      </c>
      <c r="E313" s="10" t="s">
        <v>28</v>
      </c>
      <c r="F313" s="11">
        <v>100784</v>
      </c>
      <c r="G313" s="11">
        <v>0</v>
      </c>
      <c r="H313" s="71">
        <f t="shared" si="43"/>
        <v>0</v>
      </c>
    </row>
    <row r="314" spans="1:8" s="3" customFormat="1" ht="63">
      <c r="A314" s="36" t="s">
        <v>251</v>
      </c>
      <c r="B314" s="10" t="s">
        <v>44</v>
      </c>
      <c r="C314" s="10" t="s">
        <v>5</v>
      </c>
      <c r="D314" s="10" t="s">
        <v>252</v>
      </c>
      <c r="E314" s="10" t="s">
        <v>8</v>
      </c>
      <c r="F314" s="11">
        <f t="shared" ref="F314:G315" si="56">F315</f>
        <v>197000</v>
      </c>
      <c r="G314" s="11">
        <f t="shared" si="56"/>
        <v>197000</v>
      </c>
      <c r="H314" s="71">
        <f t="shared" si="43"/>
        <v>100</v>
      </c>
    </row>
    <row r="315" spans="1:8" s="3" customFormat="1" ht="31.5">
      <c r="A315" s="9" t="s">
        <v>25</v>
      </c>
      <c r="B315" s="10" t="s">
        <v>44</v>
      </c>
      <c r="C315" s="10" t="s">
        <v>5</v>
      </c>
      <c r="D315" s="10" t="s">
        <v>252</v>
      </c>
      <c r="E315" s="10" t="s">
        <v>26</v>
      </c>
      <c r="F315" s="11">
        <f t="shared" si="56"/>
        <v>197000</v>
      </c>
      <c r="G315" s="11">
        <f t="shared" si="56"/>
        <v>197000</v>
      </c>
      <c r="H315" s="71">
        <f t="shared" si="43"/>
        <v>100</v>
      </c>
    </row>
    <row r="316" spans="1:8" s="3" customFormat="1" ht="31.5">
      <c r="A316" s="9" t="s">
        <v>27</v>
      </c>
      <c r="B316" s="10" t="s">
        <v>44</v>
      </c>
      <c r="C316" s="10" t="s">
        <v>5</v>
      </c>
      <c r="D316" s="10" t="s">
        <v>252</v>
      </c>
      <c r="E316" s="10" t="s">
        <v>28</v>
      </c>
      <c r="F316" s="11">
        <f>296000-99000</f>
        <v>197000</v>
      </c>
      <c r="G316" s="11">
        <f>296000-99000</f>
        <v>197000</v>
      </c>
      <c r="H316" s="71">
        <f t="shared" si="43"/>
        <v>100</v>
      </c>
    </row>
    <row r="317" spans="1:8" s="3" customFormat="1" ht="31.5">
      <c r="A317" s="9" t="s">
        <v>141</v>
      </c>
      <c r="B317" s="10" t="s">
        <v>44</v>
      </c>
      <c r="C317" s="10" t="s">
        <v>5</v>
      </c>
      <c r="D317" s="10" t="s">
        <v>253</v>
      </c>
      <c r="E317" s="10" t="s">
        <v>8</v>
      </c>
      <c r="F317" s="11">
        <f t="shared" ref="F317:G318" si="57">F318</f>
        <v>8300000</v>
      </c>
      <c r="G317" s="11">
        <f t="shared" si="57"/>
        <v>8300000</v>
      </c>
      <c r="H317" s="71">
        <f t="shared" si="43"/>
        <v>100</v>
      </c>
    </row>
    <row r="318" spans="1:8" s="3" customFormat="1" ht="31.5">
      <c r="A318" s="9" t="s">
        <v>205</v>
      </c>
      <c r="B318" s="10" t="s">
        <v>44</v>
      </c>
      <c r="C318" s="10" t="s">
        <v>5</v>
      </c>
      <c r="D318" s="10" t="s">
        <v>253</v>
      </c>
      <c r="E318" s="10" t="s">
        <v>206</v>
      </c>
      <c r="F318" s="11">
        <f t="shared" si="57"/>
        <v>8300000</v>
      </c>
      <c r="G318" s="11">
        <f t="shared" si="57"/>
        <v>8300000</v>
      </c>
      <c r="H318" s="71">
        <f t="shared" si="43"/>
        <v>100</v>
      </c>
    </row>
    <row r="319" spans="1:8" s="3" customFormat="1">
      <c r="A319" s="9" t="s">
        <v>207</v>
      </c>
      <c r="B319" s="10" t="s">
        <v>44</v>
      </c>
      <c r="C319" s="10" t="s">
        <v>5</v>
      </c>
      <c r="D319" s="10" t="s">
        <v>253</v>
      </c>
      <c r="E319" s="10" t="s">
        <v>208</v>
      </c>
      <c r="F319" s="11">
        <f>3800000+4500000</f>
        <v>8300000</v>
      </c>
      <c r="G319" s="11">
        <f>3800000+4500000</f>
        <v>8300000</v>
      </c>
      <c r="H319" s="71">
        <f t="shared" si="43"/>
        <v>100</v>
      </c>
    </row>
    <row r="320" spans="1:8" s="3" customFormat="1" ht="63">
      <c r="A320" s="9" t="s">
        <v>254</v>
      </c>
      <c r="B320" s="10" t="s">
        <v>44</v>
      </c>
      <c r="C320" s="10" t="s">
        <v>5</v>
      </c>
      <c r="D320" s="10" t="s">
        <v>255</v>
      </c>
      <c r="E320" s="10" t="s">
        <v>8</v>
      </c>
      <c r="F320" s="11">
        <f t="shared" ref="F320:G321" si="58">F321</f>
        <v>873588.34</v>
      </c>
      <c r="G320" s="11">
        <f t="shared" si="58"/>
        <v>873588.34</v>
      </c>
      <c r="H320" s="71">
        <f t="shared" si="43"/>
        <v>100</v>
      </c>
    </row>
    <row r="321" spans="1:8" s="3" customFormat="1" ht="31.5">
      <c r="A321" s="9" t="s">
        <v>205</v>
      </c>
      <c r="B321" s="10" t="s">
        <v>44</v>
      </c>
      <c r="C321" s="10" t="s">
        <v>5</v>
      </c>
      <c r="D321" s="10" t="s">
        <v>255</v>
      </c>
      <c r="E321" s="10" t="s">
        <v>206</v>
      </c>
      <c r="F321" s="11">
        <f t="shared" si="58"/>
        <v>873588.34</v>
      </c>
      <c r="G321" s="11">
        <f t="shared" si="58"/>
        <v>873588.34</v>
      </c>
      <c r="H321" s="71">
        <f t="shared" si="43"/>
        <v>100</v>
      </c>
    </row>
    <row r="322" spans="1:8" s="3" customFormat="1">
      <c r="A322" s="9" t="s">
        <v>207</v>
      </c>
      <c r="B322" s="10" t="s">
        <v>44</v>
      </c>
      <c r="C322" s="10" t="s">
        <v>5</v>
      </c>
      <c r="D322" s="10" t="s">
        <v>255</v>
      </c>
      <c r="E322" s="10" t="s">
        <v>208</v>
      </c>
      <c r="F322" s="11">
        <v>873588.34</v>
      </c>
      <c r="G322" s="11">
        <v>873588.34</v>
      </c>
      <c r="H322" s="71">
        <f t="shared" si="43"/>
        <v>100</v>
      </c>
    </row>
    <row r="323" spans="1:8" s="3" customFormat="1" ht="66.75" customHeight="1">
      <c r="A323" s="9" t="s">
        <v>256</v>
      </c>
      <c r="B323" s="10" t="s">
        <v>44</v>
      </c>
      <c r="C323" s="10" t="s">
        <v>5</v>
      </c>
      <c r="D323" s="10" t="s">
        <v>257</v>
      </c>
      <c r="E323" s="10" t="s">
        <v>8</v>
      </c>
      <c r="F323" s="11">
        <f t="shared" ref="F323:G324" si="59">F324</f>
        <v>33309.81</v>
      </c>
      <c r="G323" s="11">
        <f t="shared" si="59"/>
        <v>33309.81</v>
      </c>
      <c r="H323" s="71">
        <f t="shared" si="43"/>
        <v>100</v>
      </c>
    </row>
    <row r="324" spans="1:8" s="3" customFormat="1" ht="31.5">
      <c r="A324" s="9" t="s">
        <v>205</v>
      </c>
      <c r="B324" s="10" t="s">
        <v>44</v>
      </c>
      <c r="C324" s="10" t="s">
        <v>5</v>
      </c>
      <c r="D324" s="10" t="s">
        <v>257</v>
      </c>
      <c r="E324" s="10" t="s">
        <v>206</v>
      </c>
      <c r="F324" s="11">
        <f t="shared" si="59"/>
        <v>33309.81</v>
      </c>
      <c r="G324" s="11">
        <f t="shared" si="59"/>
        <v>33309.81</v>
      </c>
      <c r="H324" s="71">
        <f t="shared" si="43"/>
        <v>100</v>
      </c>
    </row>
    <row r="325" spans="1:8" s="3" customFormat="1">
      <c r="A325" s="9" t="s">
        <v>207</v>
      </c>
      <c r="B325" s="10" t="s">
        <v>44</v>
      </c>
      <c r="C325" s="10" t="s">
        <v>5</v>
      </c>
      <c r="D325" s="10" t="s">
        <v>257</v>
      </c>
      <c r="E325" s="10" t="s">
        <v>208</v>
      </c>
      <c r="F325" s="11">
        <v>33309.81</v>
      </c>
      <c r="G325" s="11">
        <v>33309.81</v>
      </c>
      <c r="H325" s="71">
        <f t="shared" ref="H325:H382" si="60">G325/F325*100</f>
        <v>100</v>
      </c>
    </row>
    <row r="326" spans="1:8" s="3" customFormat="1" ht="78.75">
      <c r="A326" s="9" t="s">
        <v>258</v>
      </c>
      <c r="B326" s="10" t="s">
        <v>44</v>
      </c>
      <c r="C326" s="10" t="s">
        <v>5</v>
      </c>
      <c r="D326" s="10" t="s">
        <v>259</v>
      </c>
      <c r="E326" s="10" t="s">
        <v>8</v>
      </c>
      <c r="F326" s="11">
        <f t="shared" ref="F326:G327" si="61">F327</f>
        <v>726.1</v>
      </c>
      <c r="G326" s="11">
        <f t="shared" si="61"/>
        <v>726.1</v>
      </c>
      <c r="H326" s="71">
        <f t="shared" si="60"/>
        <v>100</v>
      </c>
    </row>
    <row r="327" spans="1:8" s="3" customFormat="1" ht="31.5">
      <c r="A327" s="9" t="s">
        <v>205</v>
      </c>
      <c r="B327" s="10" t="s">
        <v>44</v>
      </c>
      <c r="C327" s="10" t="s">
        <v>5</v>
      </c>
      <c r="D327" s="10" t="s">
        <v>259</v>
      </c>
      <c r="E327" s="10" t="s">
        <v>206</v>
      </c>
      <c r="F327" s="11">
        <f t="shared" si="61"/>
        <v>726.1</v>
      </c>
      <c r="G327" s="11">
        <f t="shared" si="61"/>
        <v>726.1</v>
      </c>
      <c r="H327" s="71">
        <f t="shared" si="60"/>
        <v>100</v>
      </c>
    </row>
    <row r="328" spans="1:8" s="3" customFormat="1">
      <c r="A328" s="9" t="s">
        <v>207</v>
      </c>
      <c r="B328" s="10" t="s">
        <v>44</v>
      </c>
      <c r="C328" s="10" t="s">
        <v>5</v>
      </c>
      <c r="D328" s="10" t="s">
        <v>259</v>
      </c>
      <c r="E328" s="10" t="s">
        <v>208</v>
      </c>
      <c r="F328" s="11">
        <v>726.1</v>
      </c>
      <c r="G328" s="11">
        <v>726.1</v>
      </c>
      <c r="H328" s="71">
        <f t="shared" si="60"/>
        <v>100</v>
      </c>
    </row>
    <row r="329" spans="1:8" s="3" customFormat="1">
      <c r="A329" s="40" t="s">
        <v>260</v>
      </c>
      <c r="B329" s="10" t="s">
        <v>44</v>
      </c>
      <c r="C329" s="10" t="s">
        <v>10</v>
      </c>
      <c r="D329" s="10" t="s">
        <v>7</v>
      </c>
      <c r="E329" s="10" t="s">
        <v>8</v>
      </c>
      <c r="F329" s="11">
        <f t="shared" ref="F329:G330" si="62">F330</f>
        <v>43954075.040000007</v>
      </c>
      <c r="G329" s="11">
        <f t="shared" si="62"/>
        <v>40229974.579999998</v>
      </c>
      <c r="H329" s="71">
        <f t="shared" si="60"/>
        <v>91.527291936843341</v>
      </c>
    </row>
    <row r="330" spans="1:8" s="3" customFormat="1" ht="63">
      <c r="A330" s="9" t="s">
        <v>261</v>
      </c>
      <c r="B330" s="10" t="s">
        <v>44</v>
      </c>
      <c r="C330" s="10" t="s">
        <v>10</v>
      </c>
      <c r="D330" s="10" t="s">
        <v>262</v>
      </c>
      <c r="E330" s="10" t="s">
        <v>8</v>
      </c>
      <c r="F330" s="11">
        <f t="shared" si="62"/>
        <v>43954075.040000007</v>
      </c>
      <c r="G330" s="11">
        <f t="shared" si="62"/>
        <v>40229974.579999998</v>
      </c>
      <c r="H330" s="71">
        <f t="shared" si="60"/>
        <v>91.527291936843341</v>
      </c>
    </row>
    <row r="331" spans="1:8" s="3" customFormat="1" ht="63">
      <c r="A331" s="9" t="s">
        <v>263</v>
      </c>
      <c r="B331" s="10" t="s">
        <v>44</v>
      </c>
      <c r="C331" s="10" t="s">
        <v>10</v>
      </c>
      <c r="D331" s="10" t="s">
        <v>264</v>
      </c>
      <c r="E331" s="10" t="s">
        <v>8</v>
      </c>
      <c r="F331" s="11">
        <f>F332+F335+F338+F341+F344+F347+F350+F353</f>
        <v>43954075.040000007</v>
      </c>
      <c r="G331" s="11">
        <f>G332+G335+G338+G341+G344+G347+G350+G353</f>
        <v>40229974.579999998</v>
      </c>
      <c r="H331" s="71">
        <f t="shared" si="60"/>
        <v>91.527291936843341</v>
      </c>
    </row>
    <row r="332" spans="1:8" s="3" customFormat="1" ht="31.5">
      <c r="A332" s="9" t="s">
        <v>141</v>
      </c>
      <c r="B332" s="10" t="s">
        <v>44</v>
      </c>
      <c r="C332" s="10" t="s">
        <v>10</v>
      </c>
      <c r="D332" s="10" t="s">
        <v>265</v>
      </c>
      <c r="E332" s="10" t="s">
        <v>8</v>
      </c>
      <c r="F332" s="11">
        <f t="shared" ref="F332:G333" si="63">F333</f>
        <v>100000</v>
      </c>
      <c r="G332" s="11">
        <f t="shared" si="63"/>
        <v>100000</v>
      </c>
      <c r="H332" s="71">
        <f t="shared" si="60"/>
        <v>100</v>
      </c>
    </row>
    <row r="333" spans="1:8" s="3" customFormat="1">
      <c r="A333" s="9" t="s">
        <v>35</v>
      </c>
      <c r="B333" s="10" t="s">
        <v>44</v>
      </c>
      <c r="C333" s="10" t="s">
        <v>10</v>
      </c>
      <c r="D333" s="10" t="s">
        <v>265</v>
      </c>
      <c r="E333" s="10" t="s">
        <v>36</v>
      </c>
      <c r="F333" s="11">
        <f t="shared" si="63"/>
        <v>100000</v>
      </c>
      <c r="G333" s="11">
        <f t="shared" si="63"/>
        <v>100000</v>
      </c>
      <c r="H333" s="71">
        <f t="shared" si="60"/>
        <v>100</v>
      </c>
    </row>
    <row r="334" spans="1:8" s="3" customFormat="1">
      <c r="A334" s="9" t="s">
        <v>37</v>
      </c>
      <c r="B334" s="10" t="s">
        <v>44</v>
      </c>
      <c r="C334" s="10" t="s">
        <v>10</v>
      </c>
      <c r="D334" s="10" t="s">
        <v>265</v>
      </c>
      <c r="E334" s="10" t="s">
        <v>38</v>
      </c>
      <c r="F334" s="11">
        <f>50000+50000</f>
        <v>100000</v>
      </c>
      <c r="G334" s="11">
        <f>50000+50000</f>
        <v>100000</v>
      </c>
      <c r="H334" s="71">
        <f t="shared" si="60"/>
        <v>100</v>
      </c>
    </row>
    <row r="335" spans="1:8" s="3" customFormat="1">
      <c r="A335" s="9" t="s">
        <v>266</v>
      </c>
      <c r="B335" s="10" t="s">
        <v>44</v>
      </c>
      <c r="C335" s="10" t="s">
        <v>10</v>
      </c>
      <c r="D335" s="10" t="s">
        <v>267</v>
      </c>
      <c r="E335" s="10" t="s">
        <v>8</v>
      </c>
      <c r="F335" s="11">
        <f t="shared" ref="F335:G336" si="64">F336</f>
        <v>14020182.530000001</v>
      </c>
      <c r="G335" s="11">
        <f t="shared" si="64"/>
        <v>12131761.02</v>
      </c>
      <c r="H335" s="71">
        <f t="shared" si="60"/>
        <v>86.530692407468962</v>
      </c>
    </row>
    <row r="336" spans="1:8" s="3" customFormat="1" ht="31.5">
      <c r="A336" s="9" t="s">
        <v>25</v>
      </c>
      <c r="B336" s="10" t="s">
        <v>44</v>
      </c>
      <c r="C336" s="10" t="s">
        <v>10</v>
      </c>
      <c r="D336" s="10" t="s">
        <v>267</v>
      </c>
      <c r="E336" s="10" t="s">
        <v>26</v>
      </c>
      <c r="F336" s="11">
        <f t="shared" si="64"/>
        <v>14020182.530000001</v>
      </c>
      <c r="G336" s="11">
        <f t="shared" si="64"/>
        <v>12131761.02</v>
      </c>
      <c r="H336" s="71">
        <f t="shared" si="60"/>
        <v>86.530692407468962</v>
      </c>
    </row>
    <row r="337" spans="1:8" s="3" customFormat="1" ht="31.5">
      <c r="A337" s="12" t="s">
        <v>27</v>
      </c>
      <c r="B337" s="13" t="s">
        <v>44</v>
      </c>
      <c r="C337" s="13" t="s">
        <v>10</v>
      </c>
      <c r="D337" s="13" t="s">
        <v>267</v>
      </c>
      <c r="E337" s="13" t="s">
        <v>28</v>
      </c>
      <c r="F337" s="14">
        <f>5000000-3800000+3721410+585920+505030+1367000-800000-100000-50000+1500000-77582.7+1329579.6+4163277.7-200000+1787500-700000-61952.07-150000</f>
        <v>14020182.530000001</v>
      </c>
      <c r="G337" s="72">
        <v>12131761.02</v>
      </c>
      <c r="H337" s="71">
        <f t="shared" si="60"/>
        <v>86.530692407468962</v>
      </c>
    </row>
    <row r="338" spans="1:8" s="3" customFormat="1">
      <c r="A338" s="9" t="s">
        <v>268</v>
      </c>
      <c r="B338" s="10" t="s">
        <v>44</v>
      </c>
      <c r="C338" s="10" t="s">
        <v>10</v>
      </c>
      <c r="D338" s="10" t="s">
        <v>269</v>
      </c>
      <c r="E338" s="10" t="s">
        <v>8</v>
      </c>
      <c r="F338" s="11">
        <f t="shared" ref="F338:G339" si="65">F339</f>
        <v>14020850</v>
      </c>
      <c r="G338" s="11">
        <f t="shared" si="65"/>
        <v>13373801.6</v>
      </c>
      <c r="H338" s="71">
        <f t="shared" si="60"/>
        <v>95.385098620982319</v>
      </c>
    </row>
    <row r="339" spans="1:8" s="3" customFormat="1" ht="31.5">
      <c r="A339" s="9" t="s">
        <v>25</v>
      </c>
      <c r="B339" s="10" t="s">
        <v>44</v>
      </c>
      <c r="C339" s="10" t="s">
        <v>10</v>
      </c>
      <c r="D339" s="10" t="s">
        <v>269</v>
      </c>
      <c r="E339" s="10" t="s">
        <v>26</v>
      </c>
      <c r="F339" s="11">
        <f t="shared" si="65"/>
        <v>14020850</v>
      </c>
      <c r="G339" s="11">
        <f t="shared" si="65"/>
        <v>13373801.6</v>
      </c>
      <c r="H339" s="71">
        <f t="shared" si="60"/>
        <v>95.385098620982319</v>
      </c>
    </row>
    <row r="340" spans="1:8" s="3" customFormat="1" ht="31.5">
      <c r="A340" s="12" t="s">
        <v>27</v>
      </c>
      <c r="B340" s="13" t="s">
        <v>44</v>
      </c>
      <c r="C340" s="13" t="s">
        <v>10</v>
      </c>
      <c r="D340" s="13" t="s">
        <v>269</v>
      </c>
      <c r="E340" s="13" t="s">
        <v>28</v>
      </c>
      <c r="F340" s="14">
        <f>2000000-1367000+800000+100000+11787850+700000</f>
        <v>14020850</v>
      </c>
      <c r="G340" s="72">
        <v>13373801.6</v>
      </c>
      <c r="H340" s="71">
        <f t="shared" si="60"/>
        <v>95.385098620982319</v>
      </c>
    </row>
    <row r="341" spans="1:8" s="3" customFormat="1">
      <c r="A341" s="41" t="s">
        <v>270</v>
      </c>
      <c r="B341" s="10" t="s">
        <v>44</v>
      </c>
      <c r="C341" s="10" t="s">
        <v>10</v>
      </c>
      <c r="D341" s="10" t="s">
        <v>271</v>
      </c>
      <c r="E341" s="10" t="s">
        <v>8</v>
      </c>
      <c r="F341" s="11">
        <f t="shared" ref="F341:G342" si="66">F342</f>
        <v>486978.09</v>
      </c>
      <c r="G341" s="11">
        <f t="shared" si="66"/>
        <v>477875.83</v>
      </c>
      <c r="H341" s="71">
        <f t="shared" si="60"/>
        <v>98.130868680354794</v>
      </c>
    </row>
    <row r="342" spans="1:8" s="3" customFormat="1" ht="31.5">
      <c r="A342" s="9" t="s">
        <v>25</v>
      </c>
      <c r="B342" s="10" t="s">
        <v>44</v>
      </c>
      <c r="C342" s="10" t="s">
        <v>10</v>
      </c>
      <c r="D342" s="10" t="s">
        <v>271</v>
      </c>
      <c r="E342" s="10" t="s">
        <v>26</v>
      </c>
      <c r="F342" s="11">
        <f t="shared" si="66"/>
        <v>486978.09</v>
      </c>
      <c r="G342" s="11">
        <f t="shared" si="66"/>
        <v>477875.83</v>
      </c>
      <c r="H342" s="71">
        <f t="shared" si="60"/>
        <v>98.130868680354794</v>
      </c>
    </row>
    <row r="343" spans="1:8" s="3" customFormat="1" ht="31.5">
      <c r="A343" s="9" t="s">
        <v>27</v>
      </c>
      <c r="B343" s="10" t="s">
        <v>44</v>
      </c>
      <c r="C343" s="10" t="s">
        <v>10</v>
      </c>
      <c r="D343" s="10" t="s">
        <v>271</v>
      </c>
      <c r="E343" s="10" t="s">
        <v>28</v>
      </c>
      <c r="F343" s="11">
        <f>300000+77582.7+109395.39</f>
        <v>486978.09</v>
      </c>
      <c r="G343" s="72">
        <v>477875.83</v>
      </c>
      <c r="H343" s="71">
        <f t="shared" si="60"/>
        <v>98.130868680354794</v>
      </c>
    </row>
    <row r="344" spans="1:8" s="3" customFormat="1" ht="31.5">
      <c r="A344" s="9" t="s">
        <v>272</v>
      </c>
      <c r="B344" s="10" t="s">
        <v>44</v>
      </c>
      <c r="C344" s="10" t="s">
        <v>10</v>
      </c>
      <c r="D344" s="10" t="s">
        <v>273</v>
      </c>
      <c r="E344" s="10" t="s">
        <v>8</v>
      </c>
      <c r="F344" s="11">
        <f t="shared" ref="F344:G345" si="67">F345</f>
        <v>9698730</v>
      </c>
      <c r="G344" s="11">
        <f t="shared" si="67"/>
        <v>9690000</v>
      </c>
      <c r="H344" s="71">
        <f t="shared" si="60"/>
        <v>99.909988214951852</v>
      </c>
    </row>
    <row r="345" spans="1:8" s="3" customFormat="1" ht="31.5">
      <c r="A345" s="9" t="s">
        <v>25</v>
      </c>
      <c r="B345" s="10" t="s">
        <v>44</v>
      </c>
      <c r="C345" s="10" t="s">
        <v>10</v>
      </c>
      <c r="D345" s="10" t="s">
        <v>273</v>
      </c>
      <c r="E345" s="10" t="s">
        <v>26</v>
      </c>
      <c r="F345" s="11">
        <f t="shared" si="67"/>
        <v>9698730</v>
      </c>
      <c r="G345" s="11">
        <f t="shared" si="67"/>
        <v>9690000</v>
      </c>
      <c r="H345" s="71">
        <f t="shared" si="60"/>
        <v>99.909988214951852</v>
      </c>
    </row>
    <row r="346" spans="1:8" s="3" customFormat="1" ht="31.5">
      <c r="A346" s="9" t="s">
        <v>27</v>
      </c>
      <c r="B346" s="10" t="s">
        <v>44</v>
      </c>
      <c r="C346" s="10" t="s">
        <v>10</v>
      </c>
      <c r="D346" s="10" t="s">
        <v>273</v>
      </c>
      <c r="E346" s="10" t="s">
        <v>28</v>
      </c>
      <c r="F346" s="11">
        <v>9698730</v>
      </c>
      <c r="G346" s="72">
        <v>9690000</v>
      </c>
      <c r="H346" s="71">
        <f t="shared" si="60"/>
        <v>99.909988214951852</v>
      </c>
    </row>
    <row r="347" spans="1:8" s="3" customFormat="1">
      <c r="A347" s="9" t="s">
        <v>274</v>
      </c>
      <c r="B347" s="10" t="s">
        <v>44</v>
      </c>
      <c r="C347" s="10" t="s">
        <v>10</v>
      </c>
      <c r="D347" s="10" t="s">
        <v>275</v>
      </c>
      <c r="E347" s="10" t="s">
        <v>8</v>
      </c>
      <c r="F347" s="11">
        <f t="shared" ref="F347:G348" si="68">F348</f>
        <v>394733.76</v>
      </c>
      <c r="G347" s="11">
        <f t="shared" si="68"/>
        <v>0</v>
      </c>
      <c r="H347" s="71">
        <f t="shared" si="60"/>
        <v>0</v>
      </c>
    </row>
    <row r="348" spans="1:8" s="3" customFormat="1" ht="31.5">
      <c r="A348" s="9" t="s">
        <v>25</v>
      </c>
      <c r="B348" s="10" t="s">
        <v>44</v>
      </c>
      <c r="C348" s="10" t="s">
        <v>10</v>
      </c>
      <c r="D348" s="10" t="s">
        <v>275</v>
      </c>
      <c r="E348" s="10" t="s">
        <v>26</v>
      </c>
      <c r="F348" s="11">
        <f t="shared" si="68"/>
        <v>394733.76</v>
      </c>
      <c r="G348" s="11">
        <f t="shared" si="68"/>
        <v>0</v>
      </c>
      <c r="H348" s="71">
        <f t="shared" si="60"/>
        <v>0</v>
      </c>
    </row>
    <row r="349" spans="1:8" s="3" customFormat="1" ht="31.5">
      <c r="A349" s="9" t="s">
        <v>27</v>
      </c>
      <c r="B349" s="10" t="s">
        <v>44</v>
      </c>
      <c r="C349" s="10" t="s">
        <v>10</v>
      </c>
      <c r="D349" s="10" t="s">
        <v>275</v>
      </c>
      <c r="E349" s="10" t="s">
        <v>28</v>
      </c>
      <c r="F349" s="11">
        <f>400000-5266.24</f>
        <v>394733.76</v>
      </c>
      <c r="G349" s="11">
        <v>0</v>
      </c>
      <c r="H349" s="71">
        <f t="shared" si="60"/>
        <v>0</v>
      </c>
    </row>
    <row r="350" spans="1:8" s="3" customFormat="1">
      <c r="A350" s="9" t="s">
        <v>276</v>
      </c>
      <c r="B350" s="10" t="s">
        <v>44</v>
      </c>
      <c r="C350" s="10" t="s">
        <v>10</v>
      </c>
      <c r="D350" s="10" t="s">
        <v>277</v>
      </c>
      <c r="E350" s="10" t="s">
        <v>8</v>
      </c>
      <c r="F350" s="11">
        <f t="shared" ref="F350:G351" si="69">F351</f>
        <v>3262037.14</v>
      </c>
      <c r="G350" s="11">
        <f t="shared" si="69"/>
        <v>3262037.14</v>
      </c>
      <c r="H350" s="71">
        <f t="shared" si="60"/>
        <v>100</v>
      </c>
    </row>
    <row r="351" spans="1:8" s="3" customFormat="1" ht="31.5">
      <c r="A351" s="9" t="s">
        <v>25</v>
      </c>
      <c r="B351" s="10" t="s">
        <v>44</v>
      </c>
      <c r="C351" s="10" t="s">
        <v>10</v>
      </c>
      <c r="D351" s="10" t="s">
        <v>277</v>
      </c>
      <c r="E351" s="10" t="s">
        <v>26</v>
      </c>
      <c r="F351" s="11">
        <f t="shared" si="69"/>
        <v>3262037.14</v>
      </c>
      <c r="G351" s="11">
        <f t="shared" si="69"/>
        <v>3262037.14</v>
      </c>
      <c r="H351" s="71">
        <f t="shared" si="60"/>
        <v>100</v>
      </c>
    </row>
    <row r="352" spans="1:8" s="3" customFormat="1" ht="31.5">
      <c r="A352" s="9" t="s">
        <v>27</v>
      </c>
      <c r="B352" s="10" t="s">
        <v>44</v>
      </c>
      <c r="C352" s="10" t="s">
        <v>10</v>
      </c>
      <c r="D352" s="10" t="s">
        <v>277</v>
      </c>
      <c r="E352" s="10" t="s">
        <v>28</v>
      </c>
      <c r="F352" s="11">
        <f>92594.87+2993900.78+170275.25+5266.24</f>
        <v>3262037.14</v>
      </c>
      <c r="G352" s="11">
        <f>92594.87+2993900.78+170275.25+5266.24</f>
        <v>3262037.14</v>
      </c>
      <c r="H352" s="71">
        <f t="shared" si="60"/>
        <v>100</v>
      </c>
    </row>
    <row r="353" spans="1:8" s="3" customFormat="1" ht="47.25">
      <c r="A353" s="42" t="s">
        <v>278</v>
      </c>
      <c r="B353" s="10" t="s">
        <v>44</v>
      </c>
      <c r="C353" s="10" t="s">
        <v>10</v>
      </c>
      <c r="D353" s="10" t="s">
        <v>279</v>
      </c>
      <c r="E353" s="10" t="s">
        <v>8</v>
      </c>
      <c r="F353" s="11">
        <f t="shared" ref="F353:G354" si="70">F354</f>
        <v>1970563.52</v>
      </c>
      <c r="G353" s="11">
        <f t="shared" si="70"/>
        <v>1194498.99</v>
      </c>
      <c r="H353" s="71">
        <f t="shared" si="60"/>
        <v>60.617126922150675</v>
      </c>
    </row>
    <row r="354" spans="1:8" s="3" customFormat="1" ht="31.5">
      <c r="A354" s="9" t="s">
        <v>205</v>
      </c>
      <c r="B354" s="10" t="s">
        <v>44</v>
      </c>
      <c r="C354" s="10" t="s">
        <v>10</v>
      </c>
      <c r="D354" s="10" t="s">
        <v>279</v>
      </c>
      <c r="E354" s="10" t="s">
        <v>206</v>
      </c>
      <c r="F354" s="11">
        <f t="shared" si="70"/>
        <v>1970563.52</v>
      </c>
      <c r="G354" s="11">
        <f t="shared" si="70"/>
        <v>1194498.99</v>
      </c>
      <c r="H354" s="71">
        <f t="shared" si="60"/>
        <v>60.617126922150675</v>
      </c>
    </row>
    <row r="355" spans="1:8" s="3" customFormat="1">
      <c r="A355" s="43" t="s">
        <v>207</v>
      </c>
      <c r="B355" s="13" t="s">
        <v>44</v>
      </c>
      <c r="C355" s="13" t="s">
        <v>10</v>
      </c>
      <c r="D355" s="13" t="s">
        <v>279</v>
      </c>
      <c r="E355" s="13" t="s">
        <v>208</v>
      </c>
      <c r="F355" s="14">
        <f>1200000+720563.52+50000</f>
        <v>1970563.52</v>
      </c>
      <c r="G355" s="72">
        <v>1194498.99</v>
      </c>
      <c r="H355" s="71">
        <f t="shared" si="60"/>
        <v>60.617126922150675</v>
      </c>
    </row>
    <row r="356" spans="1:8" s="3" customFormat="1">
      <c r="A356" s="40" t="s">
        <v>280</v>
      </c>
      <c r="B356" s="10" t="s">
        <v>44</v>
      </c>
      <c r="C356" s="10" t="s">
        <v>22</v>
      </c>
      <c r="D356" s="10" t="s">
        <v>7</v>
      </c>
      <c r="E356" s="10" t="s">
        <v>8</v>
      </c>
      <c r="F356" s="11">
        <f>F357+F362+F373+F392</f>
        <v>97442367.090000004</v>
      </c>
      <c r="G356" s="11">
        <f>G357+G362+G373+G392</f>
        <v>94733852.439999998</v>
      </c>
      <c r="H356" s="71">
        <f t="shared" si="60"/>
        <v>97.220393212022074</v>
      </c>
    </row>
    <row r="357" spans="1:8" s="3" customFormat="1" ht="31.5">
      <c r="A357" s="9" t="s">
        <v>281</v>
      </c>
      <c r="B357" s="10" t="s">
        <v>44</v>
      </c>
      <c r="C357" s="10" t="s">
        <v>22</v>
      </c>
      <c r="D357" s="10" t="s">
        <v>282</v>
      </c>
      <c r="E357" s="10" t="s">
        <v>8</v>
      </c>
      <c r="F357" s="17">
        <f t="shared" ref="F357:G360" si="71">F358</f>
        <v>500000</v>
      </c>
      <c r="G357" s="17">
        <f t="shared" si="71"/>
        <v>500000</v>
      </c>
      <c r="H357" s="71">
        <f t="shared" si="60"/>
        <v>100</v>
      </c>
    </row>
    <row r="358" spans="1:8" s="3" customFormat="1" ht="47.25">
      <c r="A358" s="9" t="s">
        <v>283</v>
      </c>
      <c r="B358" s="10" t="s">
        <v>44</v>
      </c>
      <c r="C358" s="10" t="s">
        <v>22</v>
      </c>
      <c r="D358" s="10" t="s">
        <v>284</v>
      </c>
      <c r="E358" s="10" t="s">
        <v>8</v>
      </c>
      <c r="F358" s="17">
        <f t="shared" si="71"/>
        <v>500000</v>
      </c>
      <c r="G358" s="17">
        <f t="shared" si="71"/>
        <v>500000</v>
      </c>
      <c r="H358" s="71">
        <f t="shared" si="60"/>
        <v>100</v>
      </c>
    </row>
    <row r="359" spans="1:8" s="3" customFormat="1" ht="31.5">
      <c r="A359" s="9" t="s">
        <v>285</v>
      </c>
      <c r="B359" s="10" t="s">
        <v>44</v>
      </c>
      <c r="C359" s="10" t="s">
        <v>22</v>
      </c>
      <c r="D359" s="10" t="s">
        <v>286</v>
      </c>
      <c r="E359" s="10" t="s">
        <v>8</v>
      </c>
      <c r="F359" s="17">
        <f t="shared" si="71"/>
        <v>500000</v>
      </c>
      <c r="G359" s="17">
        <f t="shared" si="71"/>
        <v>500000</v>
      </c>
      <c r="H359" s="71">
        <f t="shared" si="60"/>
        <v>100</v>
      </c>
    </row>
    <row r="360" spans="1:8" s="3" customFormat="1" ht="31.5">
      <c r="A360" s="9" t="s">
        <v>25</v>
      </c>
      <c r="B360" s="10" t="s">
        <v>44</v>
      </c>
      <c r="C360" s="10" t="s">
        <v>22</v>
      </c>
      <c r="D360" s="10" t="s">
        <v>286</v>
      </c>
      <c r="E360" s="10" t="s">
        <v>26</v>
      </c>
      <c r="F360" s="17">
        <f t="shared" si="71"/>
        <v>500000</v>
      </c>
      <c r="G360" s="17">
        <f t="shared" si="71"/>
        <v>500000</v>
      </c>
      <c r="H360" s="71">
        <f t="shared" si="60"/>
        <v>100</v>
      </c>
    </row>
    <row r="361" spans="1:8" s="3" customFormat="1" ht="31.5">
      <c r="A361" s="9" t="s">
        <v>27</v>
      </c>
      <c r="B361" s="10" t="s">
        <v>44</v>
      </c>
      <c r="C361" s="10" t="s">
        <v>22</v>
      </c>
      <c r="D361" s="10" t="s">
        <v>286</v>
      </c>
      <c r="E361" s="10" t="s">
        <v>28</v>
      </c>
      <c r="F361" s="17">
        <v>500000</v>
      </c>
      <c r="G361" s="17">
        <v>500000</v>
      </c>
      <c r="H361" s="71">
        <f t="shared" si="60"/>
        <v>100</v>
      </c>
    </row>
    <row r="362" spans="1:8" s="3" customFormat="1" ht="63">
      <c r="A362" s="9" t="s">
        <v>261</v>
      </c>
      <c r="B362" s="10" t="s">
        <v>44</v>
      </c>
      <c r="C362" s="10" t="s">
        <v>22</v>
      </c>
      <c r="D362" s="10" t="s">
        <v>262</v>
      </c>
      <c r="E362" s="10" t="s">
        <v>8</v>
      </c>
      <c r="F362" s="11">
        <f>F363</f>
        <v>3477965.4000000004</v>
      </c>
      <c r="G362" s="11">
        <f>G363</f>
        <v>3056108.7800000003</v>
      </c>
      <c r="H362" s="71">
        <f t="shared" si="60"/>
        <v>87.870591812097956</v>
      </c>
    </row>
    <row r="363" spans="1:8" s="3" customFormat="1" ht="63">
      <c r="A363" s="9" t="s">
        <v>263</v>
      </c>
      <c r="B363" s="10" t="s">
        <v>44</v>
      </c>
      <c r="C363" s="10" t="s">
        <v>22</v>
      </c>
      <c r="D363" s="10" t="s">
        <v>264</v>
      </c>
      <c r="E363" s="10" t="s">
        <v>8</v>
      </c>
      <c r="F363" s="11">
        <f>F364+F367+F370</f>
        <v>3477965.4000000004</v>
      </c>
      <c r="G363" s="11">
        <f>G364+G367+G370</f>
        <v>3056108.7800000003</v>
      </c>
      <c r="H363" s="71">
        <f t="shared" si="60"/>
        <v>87.870591812097956</v>
      </c>
    </row>
    <row r="364" spans="1:8" s="3" customFormat="1">
      <c r="A364" s="9" t="s">
        <v>287</v>
      </c>
      <c r="B364" s="10" t="s">
        <v>44</v>
      </c>
      <c r="C364" s="10" t="s">
        <v>22</v>
      </c>
      <c r="D364" s="10" t="s">
        <v>288</v>
      </c>
      <c r="E364" s="10" t="s">
        <v>8</v>
      </c>
      <c r="F364" s="11">
        <f t="shared" ref="F364:G365" si="72">F365</f>
        <v>993651.97000000009</v>
      </c>
      <c r="G364" s="11">
        <f t="shared" si="72"/>
        <v>599000</v>
      </c>
      <c r="H364" s="71">
        <f t="shared" si="60"/>
        <v>60.282676237234242</v>
      </c>
    </row>
    <row r="365" spans="1:8" s="3" customFormat="1" ht="31.5">
      <c r="A365" s="9" t="s">
        <v>25</v>
      </c>
      <c r="B365" s="10" t="s">
        <v>44</v>
      </c>
      <c r="C365" s="10" t="s">
        <v>22</v>
      </c>
      <c r="D365" s="10" t="s">
        <v>288</v>
      </c>
      <c r="E365" s="10" t="s">
        <v>26</v>
      </c>
      <c r="F365" s="11">
        <f t="shared" si="72"/>
        <v>993651.97000000009</v>
      </c>
      <c r="G365" s="11">
        <f t="shared" si="72"/>
        <v>599000</v>
      </c>
      <c r="H365" s="71">
        <f t="shared" si="60"/>
        <v>60.282676237234242</v>
      </c>
    </row>
    <row r="366" spans="1:8" s="3" customFormat="1" ht="31.5">
      <c r="A366" s="9" t="s">
        <v>27</v>
      </c>
      <c r="B366" s="10" t="s">
        <v>44</v>
      </c>
      <c r="C366" s="10" t="s">
        <v>22</v>
      </c>
      <c r="D366" s="10" t="s">
        <v>288</v>
      </c>
      <c r="E366" s="10" t="s">
        <v>28</v>
      </c>
      <c r="F366" s="11">
        <f>1500000-109395.39-396952.64</f>
        <v>993651.97000000009</v>
      </c>
      <c r="G366" s="72">
        <v>599000</v>
      </c>
      <c r="H366" s="71">
        <f t="shared" si="60"/>
        <v>60.282676237234242</v>
      </c>
    </row>
    <row r="367" spans="1:8" s="3" customFormat="1" ht="47.25">
      <c r="A367" s="9" t="s">
        <v>289</v>
      </c>
      <c r="B367" s="10" t="s">
        <v>44</v>
      </c>
      <c r="C367" s="10" t="s">
        <v>22</v>
      </c>
      <c r="D367" s="10" t="s">
        <v>290</v>
      </c>
      <c r="E367" s="10" t="s">
        <v>8</v>
      </c>
      <c r="F367" s="11">
        <f t="shared" ref="F367:G368" si="73">F368</f>
        <v>809861.36</v>
      </c>
      <c r="G367" s="11">
        <f t="shared" si="73"/>
        <v>782656.71</v>
      </c>
      <c r="H367" s="71">
        <f t="shared" si="60"/>
        <v>96.640826276734572</v>
      </c>
    </row>
    <row r="368" spans="1:8" s="3" customFormat="1" ht="31.5">
      <c r="A368" s="9" t="s">
        <v>25</v>
      </c>
      <c r="B368" s="10" t="s">
        <v>44</v>
      </c>
      <c r="C368" s="10" t="s">
        <v>22</v>
      </c>
      <c r="D368" s="10" t="s">
        <v>290</v>
      </c>
      <c r="E368" s="10" t="s">
        <v>26</v>
      </c>
      <c r="F368" s="11">
        <f t="shared" si="73"/>
        <v>809861.36</v>
      </c>
      <c r="G368" s="11">
        <f t="shared" si="73"/>
        <v>782656.71</v>
      </c>
      <c r="H368" s="71">
        <f t="shared" si="60"/>
        <v>96.640826276734572</v>
      </c>
    </row>
    <row r="369" spans="1:8" s="3" customFormat="1" ht="31.5">
      <c r="A369" s="9" t="s">
        <v>27</v>
      </c>
      <c r="B369" s="10" t="s">
        <v>44</v>
      </c>
      <c r="C369" s="10" t="s">
        <v>22</v>
      </c>
      <c r="D369" s="10" t="s">
        <v>290</v>
      </c>
      <c r="E369" s="10" t="s">
        <v>28</v>
      </c>
      <c r="F369" s="11">
        <v>809861.36</v>
      </c>
      <c r="G369" s="72">
        <v>782656.71</v>
      </c>
      <c r="H369" s="71">
        <f t="shared" si="60"/>
        <v>96.640826276734572</v>
      </c>
    </row>
    <row r="370" spans="1:8" s="3" customFormat="1" ht="31.5">
      <c r="A370" s="9" t="s">
        <v>291</v>
      </c>
      <c r="B370" s="10" t="s">
        <v>44</v>
      </c>
      <c r="C370" s="10" t="s">
        <v>22</v>
      </c>
      <c r="D370" s="10" t="s">
        <v>292</v>
      </c>
      <c r="E370" s="10" t="s">
        <v>8</v>
      </c>
      <c r="F370" s="11">
        <f t="shared" ref="F370:G371" si="74">F371</f>
        <v>1674452.07</v>
      </c>
      <c r="G370" s="11">
        <f t="shared" si="74"/>
        <v>1674452.07</v>
      </c>
      <c r="H370" s="71">
        <f t="shared" si="60"/>
        <v>100</v>
      </c>
    </row>
    <row r="371" spans="1:8" s="3" customFormat="1" ht="31.5">
      <c r="A371" s="9" t="s">
        <v>25</v>
      </c>
      <c r="B371" s="10" t="s">
        <v>44</v>
      </c>
      <c r="C371" s="10" t="s">
        <v>22</v>
      </c>
      <c r="D371" s="10" t="s">
        <v>292</v>
      </c>
      <c r="E371" s="10" t="s">
        <v>26</v>
      </c>
      <c r="F371" s="11">
        <f t="shared" si="74"/>
        <v>1674452.07</v>
      </c>
      <c r="G371" s="11">
        <f t="shared" si="74"/>
        <v>1674452.07</v>
      </c>
      <c r="H371" s="71">
        <f t="shared" si="60"/>
        <v>100</v>
      </c>
    </row>
    <row r="372" spans="1:8" s="3" customFormat="1" ht="31.5">
      <c r="A372" s="12" t="s">
        <v>27</v>
      </c>
      <c r="B372" s="13" t="s">
        <v>44</v>
      </c>
      <c r="C372" s="13" t="s">
        <v>22</v>
      </c>
      <c r="D372" s="13" t="s">
        <v>292</v>
      </c>
      <c r="E372" s="13" t="s">
        <v>28</v>
      </c>
      <c r="F372" s="14">
        <f>3200000-1787500+74752.07+187200</f>
        <v>1674452.07</v>
      </c>
      <c r="G372" s="14">
        <f>3200000-1787500+74752.07+187200</f>
        <v>1674452.07</v>
      </c>
      <c r="H372" s="71">
        <f t="shared" si="60"/>
        <v>100</v>
      </c>
    </row>
    <row r="373" spans="1:8" s="3" customFormat="1" ht="47.25">
      <c r="A373" s="9" t="s">
        <v>293</v>
      </c>
      <c r="B373" s="10" t="s">
        <v>44</v>
      </c>
      <c r="C373" s="10" t="s">
        <v>22</v>
      </c>
      <c r="D373" s="10" t="s">
        <v>294</v>
      </c>
      <c r="E373" s="10" t="s">
        <v>8</v>
      </c>
      <c r="F373" s="11">
        <f>F374+F378</f>
        <v>76205428.700000003</v>
      </c>
      <c r="G373" s="11">
        <f>G374+G378</f>
        <v>76055108.640000001</v>
      </c>
      <c r="H373" s="71">
        <f t="shared" si="60"/>
        <v>99.802743633144857</v>
      </c>
    </row>
    <row r="374" spans="1:8" s="3" customFormat="1" ht="31.5">
      <c r="A374" s="9" t="s">
        <v>295</v>
      </c>
      <c r="B374" s="10" t="s">
        <v>44</v>
      </c>
      <c r="C374" s="10" t="s">
        <v>22</v>
      </c>
      <c r="D374" s="10" t="s">
        <v>296</v>
      </c>
      <c r="E374" s="10" t="s">
        <v>8</v>
      </c>
      <c r="F374" s="11">
        <f t="shared" ref="F374:G376" si="75">F375</f>
        <v>20272927.16</v>
      </c>
      <c r="G374" s="11">
        <f t="shared" si="75"/>
        <v>20272927.16</v>
      </c>
      <c r="H374" s="71">
        <f t="shared" si="60"/>
        <v>100</v>
      </c>
    </row>
    <row r="375" spans="1:8" s="3" customFormat="1" ht="31.5">
      <c r="A375" s="40" t="s">
        <v>297</v>
      </c>
      <c r="B375" s="10" t="s">
        <v>44</v>
      </c>
      <c r="C375" s="10" t="s">
        <v>22</v>
      </c>
      <c r="D375" s="10" t="s">
        <v>298</v>
      </c>
      <c r="E375" s="10" t="s">
        <v>8</v>
      </c>
      <c r="F375" s="11">
        <f t="shared" si="75"/>
        <v>20272927.16</v>
      </c>
      <c r="G375" s="11">
        <f t="shared" si="75"/>
        <v>20272927.16</v>
      </c>
      <c r="H375" s="71">
        <f t="shared" si="60"/>
        <v>100</v>
      </c>
    </row>
    <row r="376" spans="1:8" s="3" customFormat="1" ht="31.5">
      <c r="A376" s="9" t="s">
        <v>25</v>
      </c>
      <c r="B376" s="10" t="s">
        <v>44</v>
      </c>
      <c r="C376" s="10" t="s">
        <v>22</v>
      </c>
      <c r="D376" s="10" t="s">
        <v>298</v>
      </c>
      <c r="E376" s="10" t="s">
        <v>26</v>
      </c>
      <c r="F376" s="11">
        <f t="shared" si="75"/>
        <v>20272927.16</v>
      </c>
      <c r="G376" s="11">
        <f t="shared" si="75"/>
        <v>20272927.16</v>
      </c>
      <c r="H376" s="71">
        <f t="shared" si="60"/>
        <v>100</v>
      </c>
    </row>
    <row r="377" spans="1:8" s="3" customFormat="1" ht="31.5">
      <c r="A377" s="9" t="s">
        <v>27</v>
      </c>
      <c r="B377" s="10" t="s">
        <v>44</v>
      </c>
      <c r="C377" s="10" t="s">
        <v>22</v>
      </c>
      <c r="D377" s="10" t="s">
        <v>298</v>
      </c>
      <c r="E377" s="10" t="s">
        <v>28</v>
      </c>
      <c r="F377" s="11">
        <f>196606.86+411580.96+19664739.34</f>
        <v>20272927.16</v>
      </c>
      <c r="G377" s="11">
        <f>196606.86+411580.96+19664739.34</f>
        <v>20272927.16</v>
      </c>
      <c r="H377" s="71">
        <f t="shared" si="60"/>
        <v>100</v>
      </c>
    </row>
    <row r="378" spans="1:8" s="3" customFormat="1" ht="47.25">
      <c r="A378" s="9" t="s">
        <v>299</v>
      </c>
      <c r="B378" s="10" t="s">
        <v>44</v>
      </c>
      <c r="C378" s="10" t="s">
        <v>22</v>
      </c>
      <c r="D378" s="10" t="s">
        <v>300</v>
      </c>
      <c r="E378" s="10" t="s">
        <v>8</v>
      </c>
      <c r="F378" s="11">
        <f>F379+F389</f>
        <v>55932501.539999999</v>
      </c>
      <c r="G378" s="11">
        <f>G379+G389</f>
        <v>55782181.479999997</v>
      </c>
      <c r="H378" s="71">
        <f t="shared" si="60"/>
        <v>99.731247385936243</v>
      </c>
    </row>
    <row r="379" spans="1:8" s="3" customFormat="1" ht="31.5">
      <c r="A379" s="40" t="s">
        <v>301</v>
      </c>
      <c r="B379" s="10" t="s">
        <v>44</v>
      </c>
      <c r="C379" s="10" t="s">
        <v>22</v>
      </c>
      <c r="D379" s="10" t="s">
        <v>302</v>
      </c>
      <c r="E379" s="10" t="s">
        <v>8</v>
      </c>
      <c r="F379" s="11">
        <f>F380+F383+F386</f>
        <v>4921941.54</v>
      </c>
      <c r="G379" s="11">
        <f>G380+G383+G386</f>
        <v>4771621.4799999995</v>
      </c>
      <c r="H379" s="71">
        <f t="shared" si="60"/>
        <v>96.945919434874057</v>
      </c>
    </row>
    <row r="380" spans="1:8" s="3" customFormat="1">
      <c r="A380" s="40" t="s">
        <v>303</v>
      </c>
      <c r="B380" s="10" t="s">
        <v>44</v>
      </c>
      <c r="C380" s="10" t="s">
        <v>22</v>
      </c>
      <c r="D380" s="10" t="s">
        <v>304</v>
      </c>
      <c r="E380" s="10" t="s">
        <v>8</v>
      </c>
      <c r="F380" s="11">
        <f t="shared" ref="F380:G381" si="76">F381</f>
        <v>1017396.54</v>
      </c>
      <c r="G380" s="11">
        <f t="shared" si="76"/>
        <v>867076.48</v>
      </c>
      <c r="H380" s="71">
        <f t="shared" si="60"/>
        <v>85.225027401803416</v>
      </c>
    </row>
    <row r="381" spans="1:8" s="3" customFormat="1" ht="31.5">
      <c r="A381" s="9" t="s">
        <v>25</v>
      </c>
      <c r="B381" s="10" t="s">
        <v>44</v>
      </c>
      <c r="C381" s="10" t="s">
        <v>22</v>
      </c>
      <c r="D381" s="10" t="s">
        <v>304</v>
      </c>
      <c r="E381" s="10" t="s">
        <v>26</v>
      </c>
      <c r="F381" s="11">
        <f t="shared" si="76"/>
        <v>1017396.54</v>
      </c>
      <c r="G381" s="11">
        <f t="shared" si="76"/>
        <v>867076.48</v>
      </c>
      <c r="H381" s="71">
        <f t="shared" si="60"/>
        <v>85.225027401803416</v>
      </c>
    </row>
    <row r="382" spans="1:8" s="3" customFormat="1" ht="31.5">
      <c r="A382" s="12" t="s">
        <v>27</v>
      </c>
      <c r="B382" s="13" t="s">
        <v>44</v>
      </c>
      <c r="C382" s="13" t="s">
        <v>22</v>
      </c>
      <c r="D382" s="13" t="s">
        <v>304</v>
      </c>
      <c r="E382" s="13" t="s">
        <v>28</v>
      </c>
      <c r="F382" s="14">
        <f>3000000-412039.94-1000000-570563.52</f>
        <v>1017396.54</v>
      </c>
      <c r="G382" s="72">
        <v>867076.48</v>
      </c>
      <c r="H382" s="71">
        <f t="shared" si="60"/>
        <v>85.225027401803416</v>
      </c>
    </row>
    <row r="383" spans="1:8" s="3" customFormat="1" ht="31.5">
      <c r="A383" s="9" t="s">
        <v>305</v>
      </c>
      <c r="B383" s="10" t="s">
        <v>44</v>
      </c>
      <c r="C383" s="10" t="s">
        <v>22</v>
      </c>
      <c r="D383" s="10" t="s">
        <v>306</v>
      </c>
      <c r="E383" s="10" t="s">
        <v>8</v>
      </c>
      <c r="F383" s="11">
        <f t="shared" ref="F383:G384" si="77">F384</f>
        <v>2450000</v>
      </c>
      <c r="G383" s="11">
        <f t="shared" si="77"/>
        <v>2450000</v>
      </c>
      <c r="H383" s="71">
        <f t="shared" ref="H383:H446" si="78">G383/F383*100</f>
        <v>100</v>
      </c>
    </row>
    <row r="384" spans="1:8" s="3" customFormat="1" ht="31.5">
      <c r="A384" s="9" t="s">
        <v>25</v>
      </c>
      <c r="B384" s="10" t="s">
        <v>44</v>
      </c>
      <c r="C384" s="10" t="s">
        <v>22</v>
      </c>
      <c r="D384" s="10" t="s">
        <v>306</v>
      </c>
      <c r="E384" s="10" t="s">
        <v>26</v>
      </c>
      <c r="F384" s="11">
        <f t="shared" si="77"/>
        <v>2450000</v>
      </c>
      <c r="G384" s="11">
        <f t="shared" si="77"/>
        <v>2450000</v>
      </c>
      <c r="H384" s="71">
        <f t="shared" si="78"/>
        <v>100</v>
      </c>
    </row>
    <row r="385" spans="1:8" s="3" customFormat="1" ht="31.5">
      <c r="A385" s="9" t="s">
        <v>27</v>
      </c>
      <c r="B385" s="10" t="s">
        <v>44</v>
      </c>
      <c r="C385" s="10" t="s">
        <v>22</v>
      </c>
      <c r="D385" s="10" t="s">
        <v>306</v>
      </c>
      <c r="E385" s="10" t="s">
        <v>28</v>
      </c>
      <c r="F385" s="11">
        <f>3030303.03-5803.03-574500</f>
        <v>2450000</v>
      </c>
      <c r="G385" s="11">
        <f>3030303.03-5803.03-574500</f>
        <v>2450000</v>
      </c>
      <c r="H385" s="71">
        <f t="shared" si="78"/>
        <v>100</v>
      </c>
    </row>
    <row r="386" spans="1:8" s="3" customFormat="1" ht="31.5">
      <c r="A386" s="9" t="s">
        <v>305</v>
      </c>
      <c r="B386" s="10" t="s">
        <v>44</v>
      </c>
      <c r="C386" s="10" t="s">
        <v>22</v>
      </c>
      <c r="D386" s="10" t="s">
        <v>307</v>
      </c>
      <c r="E386" s="10" t="s">
        <v>8</v>
      </c>
      <c r="F386" s="11">
        <f t="shared" ref="F386:G387" si="79">F387</f>
        <v>1454544.9999999998</v>
      </c>
      <c r="G386" s="11">
        <f t="shared" si="79"/>
        <v>1454544.9999999998</v>
      </c>
      <c r="H386" s="71">
        <f t="shared" si="78"/>
        <v>100</v>
      </c>
    </row>
    <row r="387" spans="1:8" s="3" customFormat="1" ht="31.5">
      <c r="A387" s="9" t="s">
        <v>25</v>
      </c>
      <c r="B387" s="10" t="s">
        <v>44</v>
      </c>
      <c r="C387" s="10" t="s">
        <v>22</v>
      </c>
      <c r="D387" s="10" t="s">
        <v>307</v>
      </c>
      <c r="E387" s="10" t="s">
        <v>26</v>
      </c>
      <c r="F387" s="11">
        <f t="shared" si="79"/>
        <v>1454544.9999999998</v>
      </c>
      <c r="G387" s="11">
        <f t="shared" si="79"/>
        <v>1454544.9999999998</v>
      </c>
      <c r="H387" s="71">
        <f t="shared" si="78"/>
        <v>100</v>
      </c>
    </row>
    <row r="388" spans="1:8" s="3" customFormat="1" ht="31.5">
      <c r="A388" s="9" t="s">
        <v>27</v>
      </c>
      <c r="B388" s="10" t="s">
        <v>44</v>
      </c>
      <c r="C388" s="10" t="s">
        <v>22</v>
      </c>
      <c r="D388" s="10" t="s">
        <v>307</v>
      </c>
      <c r="E388" s="10" t="s">
        <v>28</v>
      </c>
      <c r="F388" s="11">
        <f>3030303.03-15757.58-1560000.45</f>
        <v>1454544.9999999998</v>
      </c>
      <c r="G388" s="11">
        <f>3030303.03-15757.58-1560000.45</f>
        <v>1454544.9999999998</v>
      </c>
      <c r="H388" s="71">
        <f t="shared" si="78"/>
        <v>100</v>
      </c>
    </row>
    <row r="389" spans="1:8" s="3" customFormat="1" ht="47.25">
      <c r="A389" s="40" t="s">
        <v>308</v>
      </c>
      <c r="B389" s="10" t="s">
        <v>44</v>
      </c>
      <c r="C389" s="10" t="s">
        <v>22</v>
      </c>
      <c r="D389" s="10" t="s">
        <v>309</v>
      </c>
      <c r="E389" s="10" t="s">
        <v>8</v>
      </c>
      <c r="F389" s="11">
        <f t="shared" ref="F389:G390" si="80">F390</f>
        <v>51010560</v>
      </c>
      <c r="G389" s="11">
        <f t="shared" si="80"/>
        <v>51010560</v>
      </c>
      <c r="H389" s="71">
        <f t="shared" si="78"/>
        <v>100</v>
      </c>
    </row>
    <row r="390" spans="1:8" s="3" customFormat="1" ht="31.5">
      <c r="A390" s="9" t="s">
        <v>25</v>
      </c>
      <c r="B390" s="10" t="s">
        <v>44</v>
      </c>
      <c r="C390" s="10" t="s">
        <v>22</v>
      </c>
      <c r="D390" s="10" t="s">
        <v>309</v>
      </c>
      <c r="E390" s="10" t="s">
        <v>26</v>
      </c>
      <c r="F390" s="11">
        <f t="shared" si="80"/>
        <v>51010560</v>
      </c>
      <c r="G390" s="11">
        <f t="shared" si="80"/>
        <v>51010560</v>
      </c>
      <c r="H390" s="71">
        <f t="shared" si="78"/>
        <v>100</v>
      </c>
    </row>
    <row r="391" spans="1:8" s="3" customFormat="1" ht="31.5">
      <c r="A391" s="9" t="s">
        <v>27</v>
      </c>
      <c r="B391" s="10" t="s">
        <v>44</v>
      </c>
      <c r="C391" s="10" t="s">
        <v>22</v>
      </c>
      <c r="D391" s="10" t="s">
        <v>309</v>
      </c>
      <c r="E391" s="10" t="s">
        <v>28</v>
      </c>
      <c r="F391" s="11">
        <f>505050.51+505050.51+458.98+50000000</f>
        <v>51010560</v>
      </c>
      <c r="G391" s="11">
        <f>505050.51+505050.51+458.98+50000000</f>
        <v>51010560</v>
      </c>
      <c r="H391" s="71">
        <f t="shared" si="78"/>
        <v>100</v>
      </c>
    </row>
    <row r="392" spans="1:8" s="3" customFormat="1" ht="31.5">
      <c r="A392" s="9" t="s">
        <v>134</v>
      </c>
      <c r="B392" s="10" t="s">
        <v>44</v>
      </c>
      <c r="C392" s="10" t="s">
        <v>22</v>
      </c>
      <c r="D392" s="10" t="s">
        <v>135</v>
      </c>
      <c r="E392" s="10" t="s">
        <v>8</v>
      </c>
      <c r="F392" s="11">
        <f>F393</f>
        <v>17258972.990000002</v>
      </c>
      <c r="G392" s="11">
        <f>G393</f>
        <v>15122635.02</v>
      </c>
      <c r="H392" s="71">
        <f t="shared" si="78"/>
        <v>87.621870830681431</v>
      </c>
    </row>
    <row r="393" spans="1:8" s="3" customFormat="1" ht="31.5">
      <c r="A393" s="9" t="s">
        <v>136</v>
      </c>
      <c r="B393" s="10" t="s">
        <v>44</v>
      </c>
      <c r="C393" s="10" t="s">
        <v>22</v>
      </c>
      <c r="D393" s="10" t="s">
        <v>137</v>
      </c>
      <c r="E393" s="10" t="s">
        <v>8</v>
      </c>
      <c r="F393" s="11">
        <f>F394+F397+F400</f>
        <v>17258972.990000002</v>
      </c>
      <c r="G393" s="11">
        <f>G394+G397+G400</f>
        <v>15122635.02</v>
      </c>
      <c r="H393" s="71">
        <f t="shared" si="78"/>
        <v>87.621870830681431</v>
      </c>
    </row>
    <row r="394" spans="1:8" s="3" customFormat="1">
      <c r="A394" s="9" t="s">
        <v>310</v>
      </c>
      <c r="B394" s="10" t="s">
        <v>44</v>
      </c>
      <c r="C394" s="10" t="s">
        <v>22</v>
      </c>
      <c r="D394" s="10" t="s">
        <v>311</v>
      </c>
      <c r="E394" s="10" t="s">
        <v>8</v>
      </c>
      <c r="F394" s="11">
        <f t="shared" ref="F394:G395" si="81">F395</f>
        <v>11587172.990000002</v>
      </c>
      <c r="G394" s="11">
        <f t="shared" si="81"/>
        <v>10633476.199999999</v>
      </c>
      <c r="H394" s="71">
        <f t="shared" si="78"/>
        <v>91.769374714409935</v>
      </c>
    </row>
    <row r="395" spans="1:8" s="3" customFormat="1" ht="31.5">
      <c r="A395" s="9" t="s">
        <v>25</v>
      </c>
      <c r="B395" s="10" t="s">
        <v>44</v>
      </c>
      <c r="C395" s="10" t="s">
        <v>22</v>
      </c>
      <c r="D395" s="10" t="s">
        <v>311</v>
      </c>
      <c r="E395" s="10" t="s">
        <v>26</v>
      </c>
      <c r="F395" s="11">
        <f t="shared" si="81"/>
        <v>11587172.990000002</v>
      </c>
      <c r="G395" s="11">
        <f t="shared" si="81"/>
        <v>10633476.199999999</v>
      </c>
      <c r="H395" s="71">
        <f t="shared" si="78"/>
        <v>91.769374714409935</v>
      </c>
    </row>
    <row r="396" spans="1:8" s="3" customFormat="1" ht="31.5">
      <c r="A396" s="9" t="s">
        <v>27</v>
      </c>
      <c r="B396" s="10" t="s">
        <v>44</v>
      </c>
      <c r="C396" s="10" t="s">
        <v>22</v>
      </c>
      <c r="D396" s="10" t="s">
        <v>311</v>
      </c>
      <c r="E396" s="10" t="s">
        <v>28</v>
      </c>
      <c r="F396" s="23">
        <f>1000000+3500000+333084.24+3000000+21560.61+600000+4104660.73-1772132.59-200000+1000000</f>
        <v>11587172.990000002</v>
      </c>
      <c r="G396" s="72">
        <v>10633476.199999999</v>
      </c>
      <c r="H396" s="71">
        <f t="shared" si="78"/>
        <v>91.769374714409935</v>
      </c>
    </row>
    <row r="397" spans="1:8" s="3" customFormat="1">
      <c r="A397" s="9" t="s">
        <v>312</v>
      </c>
      <c r="B397" s="10" t="s">
        <v>44</v>
      </c>
      <c r="C397" s="10" t="s">
        <v>22</v>
      </c>
      <c r="D397" s="10" t="s">
        <v>313</v>
      </c>
      <c r="E397" s="10" t="s">
        <v>8</v>
      </c>
      <c r="F397" s="17">
        <f t="shared" ref="F397:G398" si="82">F398</f>
        <v>4000000</v>
      </c>
      <c r="G397" s="17">
        <f t="shared" si="82"/>
        <v>2817358.82</v>
      </c>
      <c r="H397" s="71">
        <f t="shared" si="78"/>
        <v>70.433970500000001</v>
      </c>
    </row>
    <row r="398" spans="1:8" s="3" customFormat="1" ht="31.5">
      <c r="A398" s="9" t="s">
        <v>25</v>
      </c>
      <c r="B398" s="10" t="s">
        <v>44</v>
      </c>
      <c r="C398" s="10" t="s">
        <v>22</v>
      </c>
      <c r="D398" s="10" t="s">
        <v>313</v>
      </c>
      <c r="E398" s="10" t="s">
        <v>26</v>
      </c>
      <c r="F398" s="17">
        <f t="shared" si="82"/>
        <v>4000000</v>
      </c>
      <c r="G398" s="17">
        <f t="shared" si="82"/>
        <v>2817358.82</v>
      </c>
      <c r="H398" s="71">
        <f t="shared" si="78"/>
        <v>70.433970500000001</v>
      </c>
    </row>
    <row r="399" spans="1:8" s="3" customFormat="1" ht="31.5">
      <c r="A399" s="9" t="s">
        <v>27</v>
      </c>
      <c r="B399" s="10" t="s">
        <v>44</v>
      </c>
      <c r="C399" s="10" t="s">
        <v>22</v>
      </c>
      <c r="D399" s="10" t="s">
        <v>313</v>
      </c>
      <c r="E399" s="10" t="s">
        <v>28</v>
      </c>
      <c r="F399" s="17">
        <v>4000000</v>
      </c>
      <c r="G399" s="72">
        <v>2817358.82</v>
      </c>
      <c r="H399" s="71">
        <f t="shared" si="78"/>
        <v>70.433970500000001</v>
      </c>
    </row>
    <row r="400" spans="1:8" s="3" customFormat="1" ht="31.5">
      <c r="A400" s="9" t="s">
        <v>218</v>
      </c>
      <c r="B400" s="10" t="s">
        <v>44</v>
      </c>
      <c r="C400" s="10" t="s">
        <v>22</v>
      </c>
      <c r="D400" s="10" t="s">
        <v>219</v>
      </c>
      <c r="E400" s="10" t="s">
        <v>8</v>
      </c>
      <c r="F400" s="17">
        <f t="shared" ref="F400:G401" si="83">F401</f>
        <v>1671800</v>
      </c>
      <c r="G400" s="17">
        <f t="shared" si="83"/>
        <v>1671800</v>
      </c>
      <c r="H400" s="71">
        <f t="shared" si="78"/>
        <v>100</v>
      </c>
    </row>
    <row r="401" spans="1:8" s="3" customFormat="1" ht="31.5">
      <c r="A401" s="9" t="s">
        <v>25</v>
      </c>
      <c r="B401" s="10" t="s">
        <v>44</v>
      </c>
      <c r="C401" s="10" t="s">
        <v>22</v>
      </c>
      <c r="D401" s="10" t="s">
        <v>219</v>
      </c>
      <c r="E401" s="10" t="s">
        <v>26</v>
      </c>
      <c r="F401" s="17">
        <f t="shared" si="83"/>
        <v>1671800</v>
      </c>
      <c r="G401" s="17">
        <f t="shared" si="83"/>
        <v>1671800</v>
      </c>
      <c r="H401" s="71">
        <f t="shared" si="78"/>
        <v>100</v>
      </c>
    </row>
    <row r="402" spans="1:8" s="3" customFormat="1" ht="31.5">
      <c r="A402" s="9" t="s">
        <v>27</v>
      </c>
      <c r="B402" s="10" t="s">
        <v>44</v>
      </c>
      <c r="C402" s="10" t="s">
        <v>22</v>
      </c>
      <c r="D402" s="10" t="s">
        <v>219</v>
      </c>
      <c r="E402" s="10" t="s">
        <v>28</v>
      </c>
      <c r="F402" s="17">
        <v>1671800</v>
      </c>
      <c r="G402" s="17">
        <v>1671800</v>
      </c>
      <c r="H402" s="71">
        <f t="shared" si="78"/>
        <v>100</v>
      </c>
    </row>
    <row r="403" spans="1:8" outlineLevel="1">
      <c r="A403" s="9" t="s">
        <v>314</v>
      </c>
      <c r="B403" s="10" t="s">
        <v>44</v>
      </c>
      <c r="C403" s="10" t="s">
        <v>44</v>
      </c>
      <c r="D403" s="10" t="s">
        <v>7</v>
      </c>
      <c r="E403" s="10" t="s">
        <v>8</v>
      </c>
      <c r="F403" s="11">
        <f t="shared" ref="F403:G407" si="84">F404</f>
        <v>144.38999999999999</v>
      </c>
      <c r="G403" s="11">
        <f t="shared" si="84"/>
        <v>144.38999999999999</v>
      </c>
      <c r="H403" s="71">
        <f t="shared" si="78"/>
        <v>100</v>
      </c>
    </row>
    <row r="404" spans="1:8" ht="31.5" outlineLevel="2">
      <c r="A404" s="9" t="s">
        <v>11</v>
      </c>
      <c r="B404" s="10" t="s">
        <v>44</v>
      </c>
      <c r="C404" s="10" t="s">
        <v>44</v>
      </c>
      <c r="D404" s="10" t="s">
        <v>12</v>
      </c>
      <c r="E404" s="10" t="s">
        <v>8</v>
      </c>
      <c r="F404" s="11">
        <f t="shared" si="84"/>
        <v>144.38999999999999</v>
      </c>
      <c r="G404" s="11">
        <f t="shared" si="84"/>
        <v>144.38999999999999</v>
      </c>
      <c r="H404" s="71">
        <f t="shared" si="78"/>
        <v>100</v>
      </c>
    </row>
    <row r="405" spans="1:8" ht="31.5" outlineLevel="2">
      <c r="A405" s="9" t="s">
        <v>13</v>
      </c>
      <c r="B405" s="10" t="s">
        <v>44</v>
      </c>
      <c r="C405" s="10" t="s">
        <v>44</v>
      </c>
      <c r="D405" s="10" t="s">
        <v>14</v>
      </c>
      <c r="E405" s="10" t="s">
        <v>8</v>
      </c>
      <c r="F405" s="11">
        <f t="shared" si="84"/>
        <v>144.38999999999999</v>
      </c>
      <c r="G405" s="11">
        <f t="shared" si="84"/>
        <v>144.38999999999999</v>
      </c>
      <c r="H405" s="71">
        <f t="shared" si="78"/>
        <v>100</v>
      </c>
    </row>
    <row r="406" spans="1:8" ht="47.25" outlineLevel="5">
      <c r="A406" s="28" t="s">
        <v>315</v>
      </c>
      <c r="B406" s="10" t="s">
        <v>44</v>
      </c>
      <c r="C406" s="10" t="s">
        <v>44</v>
      </c>
      <c r="D406" s="10" t="s">
        <v>316</v>
      </c>
      <c r="E406" s="10" t="s">
        <v>8</v>
      </c>
      <c r="F406" s="11">
        <f t="shared" si="84"/>
        <v>144.38999999999999</v>
      </c>
      <c r="G406" s="11">
        <f t="shared" si="84"/>
        <v>144.38999999999999</v>
      </c>
      <c r="H406" s="71">
        <f t="shared" si="78"/>
        <v>100</v>
      </c>
    </row>
    <row r="407" spans="1:8" ht="31.5" outlineLevel="5">
      <c r="A407" s="9" t="s">
        <v>25</v>
      </c>
      <c r="B407" s="10" t="s">
        <v>44</v>
      </c>
      <c r="C407" s="10" t="s">
        <v>44</v>
      </c>
      <c r="D407" s="10" t="s">
        <v>316</v>
      </c>
      <c r="E407" s="10" t="s">
        <v>26</v>
      </c>
      <c r="F407" s="11">
        <f t="shared" si="84"/>
        <v>144.38999999999999</v>
      </c>
      <c r="G407" s="11">
        <f t="shared" si="84"/>
        <v>144.38999999999999</v>
      </c>
      <c r="H407" s="71">
        <f t="shared" si="78"/>
        <v>100</v>
      </c>
    </row>
    <row r="408" spans="1:8" ht="31.5" outlineLevel="5">
      <c r="A408" s="9" t="s">
        <v>27</v>
      </c>
      <c r="B408" s="10" t="s">
        <v>44</v>
      </c>
      <c r="C408" s="10" t="s">
        <v>44</v>
      </c>
      <c r="D408" s="10" t="s">
        <v>316</v>
      </c>
      <c r="E408" s="10" t="s">
        <v>28</v>
      </c>
      <c r="F408" s="11">
        <v>144.38999999999999</v>
      </c>
      <c r="G408" s="11">
        <v>144.38999999999999</v>
      </c>
      <c r="H408" s="71">
        <f t="shared" si="78"/>
        <v>100</v>
      </c>
    </row>
    <row r="409" spans="1:8" s="3" customFormat="1">
      <c r="A409" s="6" t="s">
        <v>317</v>
      </c>
      <c r="B409" s="7" t="s">
        <v>318</v>
      </c>
      <c r="C409" s="7" t="s">
        <v>6</v>
      </c>
      <c r="D409" s="7" t="s">
        <v>7</v>
      </c>
      <c r="E409" s="7" t="s">
        <v>8</v>
      </c>
      <c r="F409" s="8">
        <f>F410+F438+F528+F566+F591</f>
        <v>1100052334.1399999</v>
      </c>
      <c r="G409" s="8">
        <f>G410+G438+G528+G566+G591</f>
        <v>1093075082.05</v>
      </c>
      <c r="H409" s="70">
        <f t="shared" si="78"/>
        <v>99.365734531579847</v>
      </c>
    </row>
    <row r="410" spans="1:8">
      <c r="A410" s="9" t="s">
        <v>319</v>
      </c>
      <c r="B410" s="10" t="s">
        <v>318</v>
      </c>
      <c r="C410" s="10" t="s">
        <v>5</v>
      </c>
      <c r="D410" s="10" t="s">
        <v>7</v>
      </c>
      <c r="E410" s="10" t="s">
        <v>8</v>
      </c>
      <c r="F410" s="11">
        <f>F411+F428+F433</f>
        <v>252464508.80000001</v>
      </c>
      <c r="G410" s="11">
        <f>G411+G428+G433</f>
        <v>247284955.62</v>
      </c>
      <c r="H410" s="71">
        <f t="shared" si="78"/>
        <v>97.94840343911342</v>
      </c>
    </row>
    <row r="411" spans="1:8" ht="31.5">
      <c r="A411" s="9" t="s">
        <v>320</v>
      </c>
      <c r="B411" s="10" t="s">
        <v>318</v>
      </c>
      <c r="C411" s="10" t="s">
        <v>5</v>
      </c>
      <c r="D411" s="10" t="s">
        <v>321</v>
      </c>
      <c r="E411" s="10" t="s">
        <v>8</v>
      </c>
      <c r="F411" s="11">
        <f>F412+F423</f>
        <v>251622836.82000002</v>
      </c>
      <c r="G411" s="11">
        <f>G412+G423</f>
        <v>246443283.64000002</v>
      </c>
      <c r="H411" s="71">
        <f t="shared" si="78"/>
        <v>97.941540900874102</v>
      </c>
    </row>
    <row r="412" spans="1:8">
      <c r="A412" s="9" t="s">
        <v>322</v>
      </c>
      <c r="B412" s="10" t="s">
        <v>318</v>
      </c>
      <c r="C412" s="10" t="s">
        <v>5</v>
      </c>
      <c r="D412" s="10" t="s">
        <v>323</v>
      </c>
      <c r="E412" s="10" t="s">
        <v>8</v>
      </c>
      <c r="F412" s="11">
        <f>F413+F417+F420</f>
        <v>246764996.82000002</v>
      </c>
      <c r="G412" s="11">
        <f>G413+G417+G420</f>
        <v>241600621.57000002</v>
      </c>
      <c r="H412" s="71">
        <f t="shared" si="78"/>
        <v>97.907168635522851</v>
      </c>
    </row>
    <row r="413" spans="1:8" ht="31.5">
      <c r="A413" s="9" t="s">
        <v>100</v>
      </c>
      <c r="B413" s="10" t="s">
        <v>318</v>
      </c>
      <c r="C413" s="10" t="s">
        <v>5</v>
      </c>
      <c r="D413" s="10" t="s">
        <v>324</v>
      </c>
      <c r="E413" s="10" t="s">
        <v>8</v>
      </c>
      <c r="F413" s="11">
        <f t="shared" ref="F413:G415" si="85">F414</f>
        <v>95963550.290000007</v>
      </c>
      <c r="G413" s="11">
        <f t="shared" si="85"/>
        <v>90799175.040000007</v>
      </c>
      <c r="H413" s="71">
        <f t="shared" si="78"/>
        <v>94.618399137596143</v>
      </c>
    </row>
    <row r="414" spans="1:8">
      <c r="A414" s="9" t="s">
        <v>325</v>
      </c>
      <c r="B414" s="10" t="s">
        <v>318</v>
      </c>
      <c r="C414" s="10" t="s">
        <v>5</v>
      </c>
      <c r="D414" s="10" t="s">
        <v>326</v>
      </c>
      <c r="E414" s="10" t="s">
        <v>8</v>
      </c>
      <c r="F414" s="11">
        <f t="shared" si="85"/>
        <v>95963550.290000007</v>
      </c>
      <c r="G414" s="11">
        <f t="shared" si="85"/>
        <v>90799175.040000007</v>
      </c>
      <c r="H414" s="71">
        <f t="shared" si="78"/>
        <v>94.618399137596143</v>
      </c>
    </row>
    <row r="415" spans="1:8" ht="31.5">
      <c r="A415" s="9" t="s">
        <v>327</v>
      </c>
      <c r="B415" s="10" t="s">
        <v>318</v>
      </c>
      <c r="C415" s="10" t="s">
        <v>5</v>
      </c>
      <c r="D415" s="10" t="s">
        <v>326</v>
      </c>
      <c r="E415" s="10" t="s">
        <v>328</v>
      </c>
      <c r="F415" s="11">
        <f t="shared" si="85"/>
        <v>95963550.290000007</v>
      </c>
      <c r="G415" s="11">
        <f t="shared" si="85"/>
        <v>90799175.040000007</v>
      </c>
      <c r="H415" s="71">
        <f t="shared" si="78"/>
        <v>94.618399137596143</v>
      </c>
    </row>
    <row r="416" spans="1:8">
      <c r="A416" s="12" t="s">
        <v>329</v>
      </c>
      <c r="B416" s="13" t="s">
        <v>318</v>
      </c>
      <c r="C416" s="13" t="s">
        <v>5</v>
      </c>
      <c r="D416" s="13" t="s">
        <v>326</v>
      </c>
      <c r="E416" s="13" t="s">
        <v>330</v>
      </c>
      <c r="F416" s="14">
        <f>96070400+4000000+103000-1209849.71-3000000</f>
        <v>95963550.290000007</v>
      </c>
      <c r="G416" s="72">
        <v>90799175.040000007</v>
      </c>
      <c r="H416" s="71">
        <f t="shared" si="78"/>
        <v>94.618399137596143</v>
      </c>
    </row>
    <row r="417" spans="1:8" ht="63">
      <c r="A417" s="9" t="s">
        <v>331</v>
      </c>
      <c r="B417" s="10" t="s">
        <v>318</v>
      </c>
      <c r="C417" s="10" t="s">
        <v>5</v>
      </c>
      <c r="D417" s="10" t="s">
        <v>332</v>
      </c>
      <c r="E417" s="10" t="s">
        <v>8</v>
      </c>
      <c r="F417" s="11">
        <f t="shared" ref="F417:G418" si="86">F418</f>
        <v>150290270</v>
      </c>
      <c r="G417" s="11">
        <f t="shared" si="86"/>
        <v>150290270</v>
      </c>
      <c r="H417" s="71">
        <f t="shared" si="78"/>
        <v>100</v>
      </c>
    </row>
    <row r="418" spans="1:8" ht="31.5">
      <c r="A418" s="9" t="s">
        <v>327</v>
      </c>
      <c r="B418" s="10" t="s">
        <v>318</v>
      </c>
      <c r="C418" s="10" t="s">
        <v>5</v>
      </c>
      <c r="D418" s="10" t="s">
        <v>332</v>
      </c>
      <c r="E418" s="10" t="s">
        <v>328</v>
      </c>
      <c r="F418" s="11">
        <f t="shared" si="86"/>
        <v>150290270</v>
      </c>
      <c r="G418" s="11">
        <f t="shared" si="86"/>
        <v>150290270</v>
      </c>
      <c r="H418" s="71">
        <f t="shared" si="78"/>
        <v>100</v>
      </c>
    </row>
    <row r="419" spans="1:8">
      <c r="A419" s="9" t="s">
        <v>329</v>
      </c>
      <c r="B419" s="10" t="s">
        <v>318</v>
      </c>
      <c r="C419" s="10" t="s">
        <v>5</v>
      </c>
      <c r="D419" s="10" t="s">
        <v>332</v>
      </c>
      <c r="E419" s="10" t="s">
        <v>330</v>
      </c>
      <c r="F419" s="11">
        <v>150290270</v>
      </c>
      <c r="G419" s="11">
        <v>150290270</v>
      </c>
      <c r="H419" s="71">
        <f t="shared" si="78"/>
        <v>100</v>
      </c>
    </row>
    <row r="420" spans="1:8" ht="16.5">
      <c r="A420" s="9" t="s">
        <v>333</v>
      </c>
      <c r="B420" s="10" t="s">
        <v>318</v>
      </c>
      <c r="C420" s="10" t="s">
        <v>5</v>
      </c>
      <c r="D420" s="44" t="s">
        <v>334</v>
      </c>
      <c r="E420" s="10" t="s">
        <v>8</v>
      </c>
      <c r="F420" s="11">
        <f t="shared" ref="F420:G421" si="87">F421</f>
        <v>511176.53</v>
      </c>
      <c r="G420" s="11">
        <f t="shared" si="87"/>
        <v>511176.53</v>
      </c>
      <c r="H420" s="71">
        <f t="shared" si="78"/>
        <v>100</v>
      </c>
    </row>
    <row r="421" spans="1:8" ht="31.5">
      <c r="A421" s="9" t="s">
        <v>327</v>
      </c>
      <c r="B421" s="10" t="s">
        <v>318</v>
      </c>
      <c r="C421" s="10" t="s">
        <v>5</v>
      </c>
      <c r="D421" s="10" t="s">
        <v>334</v>
      </c>
      <c r="E421" s="10" t="s">
        <v>328</v>
      </c>
      <c r="F421" s="11">
        <f t="shared" si="87"/>
        <v>511176.53</v>
      </c>
      <c r="G421" s="11">
        <f t="shared" si="87"/>
        <v>511176.53</v>
      </c>
      <c r="H421" s="71">
        <f t="shared" si="78"/>
        <v>100</v>
      </c>
    </row>
    <row r="422" spans="1:8">
      <c r="A422" s="9" t="s">
        <v>329</v>
      </c>
      <c r="B422" s="10" t="s">
        <v>318</v>
      </c>
      <c r="C422" s="10" t="s">
        <v>5</v>
      </c>
      <c r="D422" s="10" t="s">
        <v>334</v>
      </c>
      <c r="E422" s="13" t="s">
        <v>330</v>
      </c>
      <c r="F422" s="14">
        <f>512000-823.47</f>
        <v>511176.53</v>
      </c>
      <c r="G422" s="14">
        <f>512000-823.47</f>
        <v>511176.53</v>
      </c>
      <c r="H422" s="71">
        <f t="shared" si="78"/>
        <v>100</v>
      </c>
    </row>
    <row r="423" spans="1:8" ht="47.25">
      <c r="A423" s="9" t="s">
        <v>335</v>
      </c>
      <c r="B423" s="10" t="s">
        <v>318</v>
      </c>
      <c r="C423" s="10" t="s">
        <v>5</v>
      </c>
      <c r="D423" s="10" t="s">
        <v>336</v>
      </c>
      <c r="E423" s="10" t="s">
        <v>8</v>
      </c>
      <c r="F423" s="11">
        <f t="shared" ref="F423:G424" si="88">F424</f>
        <v>4857840</v>
      </c>
      <c r="G423" s="11">
        <f t="shared" si="88"/>
        <v>4842662.07</v>
      </c>
      <c r="H423" s="71">
        <f t="shared" si="78"/>
        <v>99.687558050491589</v>
      </c>
    </row>
    <row r="424" spans="1:8" ht="31.5">
      <c r="A424" s="9" t="s">
        <v>337</v>
      </c>
      <c r="B424" s="10" t="s">
        <v>318</v>
      </c>
      <c r="C424" s="10" t="s">
        <v>5</v>
      </c>
      <c r="D424" s="10" t="s">
        <v>338</v>
      </c>
      <c r="E424" s="10" t="s">
        <v>8</v>
      </c>
      <c r="F424" s="11">
        <f t="shared" si="88"/>
        <v>4857840</v>
      </c>
      <c r="G424" s="11">
        <f t="shared" si="88"/>
        <v>4842662.07</v>
      </c>
      <c r="H424" s="71">
        <f t="shared" si="78"/>
        <v>99.687558050491589</v>
      </c>
    </row>
    <row r="425" spans="1:8" ht="31.5">
      <c r="A425" s="9" t="s">
        <v>339</v>
      </c>
      <c r="B425" s="10" t="s">
        <v>318</v>
      </c>
      <c r="C425" s="10" t="s">
        <v>5</v>
      </c>
      <c r="D425" s="10" t="s">
        <v>340</v>
      </c>
      <c r="E425" s="10" t="s">
        <v>8</v>
      </c>
      <c r="F425" s="11">
        <f>F427</f>
        <v>4857840</v>
      </c>
      <c r="G425" s="11">
        <f>G427</f>
        <v>4842662.07</v>
      </c>
      <c r="H425" s="71">
        <f t="shared" si="78"/>
        <v>99.687558050491589</v>
      </c>
    </row>
    <row r="426" spans="1:8" ht="31.5">
      <c r="A426" s="9" t="s">
        <v>327</v>
      </c>
      <c r="B426" s="10" t="s">
        <v>318</v>
      </c>
      <c r="C426" s="10" t="s">
        <v>5</v>
      </c>
      <c r="D426" s="10" t="s">
        <v>340</v>
      </c>
      <c r="E426" s="10" t="s">
        <v>328</v>
      </c>
      <c r="F426" s="11">
        <f>F427</f>
        <v>4857840</v>
      </c>
      <c r="G426" s="11">
        <f>G427</f>
        <v>4842662.07</v>
      </c>
      <c r="H426" s="71">
        <f t="shared" si="78"/>
        <v>99.687558050491589</v>
      </c>
    </row>
    <row r="427" spans="1:8">
      <c r="A427" s="9" t="s">
        <v>329</v>
      </c>
      <c r="B427" s="10" t="s">
        <v>318</v>
      </c>
      <c r="C427" s="10" t="s">
        <v>5</v>
      </c>
      <c r="D427" s="10" t="s">
        <v>340</v>
      </c>
      <c r="E427" s="10" t="s">
        <v>330</v>
      </c>
      <c r="F427" s="11">
        <v>4857840</v>
      </c>
      <c r="G427" s="72">
        <v>4842662.07</v>
      </c>
      <c r="H427" s="71">
        <f t="shared" si="78"/>
        <v>99.687558050491589</v>
      </c>
    </row>
    <row r="428" spans="1:8" ht="47.25">
      <c r="A428" s="9" t="s">
        <v>110</v>
      </c>
      <c r="B428" s="10" t="s">
        <v>318</v>
      </c>
      <c r="C428" s="10" t="s">
        <v>5</v>
      </c>
      <c r="D428" s="10" t="s">
        <v>111</v>
      </c>
      <c r="E428" s="10" t="s">
        <v>8</v>
      </c>
      <c r="F428" s="11">
        <f t="shared" ref="F428:G431" si="89">F429</f>
        <v>81976.070000000007</v>
      </c>
      <c r="G428" s="11">
        <f t="shared" si="89"/>
        <v>81976.070000000007</v>
      </c>
      <c r="H428" s="71">
        <f t="shared" si="78"/>
        <v>100</v>
      </c>
    </row>
    <row r="429" spans="1:8" ht="47.25">
      <c r="A429" s="9" t="s">
        <v>112</v>
      </c>
      <c r="B429" s="10" t="s">
        <v>318</v>
      </c>
      <c r="C429" s="10" t="s">
        <v>5</v>
      </c>
      <c r="D429" s="10" t="s">
        <v>113</v>
      </c>
      <c r="E429" s="10" t="s">
        <v>8</v>
      </c>
      <c r="F429" s="11">
        <f t="shared" si="89"/>
        <v>81976.070000000007</v>
      </c>
      <c r="G429" s="11">
        <f t="shared" si="89"/>
        <v>81976.070000000007</v>
      </c>
      <c r="H429" s="71">
        <f t="shared" si="78"/>
        <v>100</v>
      </c>
    </row>
    <row r="430" spans="1:8" ht="31.5">
      <c r="A430" s="9" t="s">
        <v>114</v>
      </c>
      <c r="B430" s="10" t="s">
        <v>318</v>
      </c>
      <c r="C430" s="10" t="s">
        <v>5</v>
      </c>
      <c r="D430" s="10" t="s">
        <v>115</v>
      </c>
      <c r="E430" s="10" t="s">
        <v>8</v>
      </c>
      <c r="F430" s="11">
        <f t="shared" si="89"/>
        <v>81976.070000000007</v>
      </c>
      <c r="G430" s="11">
        <f t="shared" si="89"/>
        <v>81976.070000000007</v>
      </c>
      <c r="H430" s="71">
        <f t="shared" si="78"/>
        <v>100</v>
      </c>
    </row>
    <row r="431" spans="1:8" ht="31.5">
      <c r="A431" s="9" t="s">
        <v>327</v>
      </c>
      <c r="B431" s="10" t="s">
        <v>318</v>
      </c>
      <c r="C431" s="10" t="s">
        <v>5</v>
      </c>
      <c r="D431" s="10" t="s">
        <v>115</v>
      </c>
      <c r="E431" s="10" t="s">
        <v>328</v>
      </c>
      <c r="F431" s="11">
        <f t="shared" si="89"/>
        <v>81976.070000000007</v>
      </c>
      <c r="G431" s="11">
        <f t="shared" si="89"/>
        <v>81976.070000000007</v>
      </c>
      <c r="H431" s="71">
        <f t="shared" si="78"/>
        <v>100</v>
      </c>
    </row>
    <row r="432" spans="1:8">
      <c r="A432" s="9" t="s">
        <v>329</v>
      </c>
      <c r="B432" s="10" t="s">
        <v>318</v>
      </c>
      <c r="C432" s="10" t="s">
        <v>5</v>
      </c>
      <c r="D432" s="10" t="s">
        <v>115</v>
      </c>
      <c r="E432" s="10" t="s">
        <v>330</v>
      </c>
      <c r="F432" s="11">
        <f>82000-23.93</f>
        <v>81976.070000000007</v>
      </c>
      <c r="G432" s="11">
        <f>82000-23.93</f>
        <v>81976.070000000007</v>
      </c>
      <c r="H432" s="71">
        <f t="shared" si="78"/>
        <v>100</v>
      </c>
    </row>
    <row r="433" spans="1:8" ht="47.25">
      <c r="A433" s="9" t="s">
        <v>341</v>
      </c>
      <c r="B433" s="10" t="s">
        <v>318</v>
      </c>
      <c r="C433" s="10" t="s">
        <v>5</v>
      </c>
      <c r="D433" s="10" t="s">
        <v>342</v>
      </c>
      <c r="E433" s="10" t="s">
        <v>8</v>
      </c>
      <c r="F433" s="11">
        <f t="shared" ref="F433:G436" si="90">F434</f>
        <v>759695.91</v>
      </c>
      <c r="G433" s="11">
        <f t="shared" si="90"/>
        <v>759695.91</v>
      </c>
      <c r="H433" s="71">
        <f t="shared" si="78"/>
        <v>100</v>
      </c>
    </row>
    <row r="434" spans="1:8" ht="47.25">
      <c r="A434" s="9" t="s">
        <v>343</v>
      </c>
      <c r="B434" s="10" t="s">
        <v>318</v>
      </c>
      <c r="C434" s="10" t="s">
        <v>5</v>
      </c>
      <c r="D434" s="10" t="s">
        <v>344</v>
      </c>
      <c r="E434" s="10" t="s">
        <v>8</v>
      </c>
      <c r="F434" s="11">
        <f t="shared" si="90"/>
        <v>759695.91</v>
      </c>
      <c r="G434" s="11">
        <f t="shared" si="90"/>
        <v>759695.91</v>
      </c>
      <c r="H434" s="71">
        <f t="shared" si="78"/>
        <v>100</v>
      </c>
    </row>
    <row r="435" spans="1:8">
      <c r="A435" s="9" t="s">
        <v>345</v>
      </c>
      <c r="B435" s="10" t="s">
        <v>318</v>
      </c>
      <c r="C435" s="10" t="s">
        <v>5</v>
      </c>
      <c r="D435" s="10" t="s">
        <v>346</v>
      </c>
      <c r="E435" s="10" t="s">
        <v>8</v>
      </c>
      <c r="F435" s="11">
        <f t="shared" si="90"/>
        <v>759695.91</v>
      </c>
      <c r="G435" s="11">
        <f t="shared" si="90"/>
        <v>759695.91</v>
      </c>
      <c r="H435" s="71">
        <f t="shared" si="78"/>
        <v>100</v>
      </c>
    </row>
    <row r="436" spans="1:8" ht="31.5">
      <c r="A436" s="9" t="s">
        <v>327</v>
      </c>
      <c r="B436" s="10" t="s">
        <v>318</v>
      </c>
      <c r="C436" s="10" t="s">
        <v>5</v>
      </c>
      <c r="D436" s="10" t="s">
        <v>346</v>
      </c>
      <c r="E436" s="10" t="s">
        <v>328</v>
      </c>
      <c r="F436" s="11">
        <f t="shared" si="90"/>
        <v>759695.91</v>
      </c>
      <c r="G436" s="11">
        <f t="shared" si="90"/>
        <v>759695.91</v>
      </c>
      <c r="H436" s="71">
        <f t="shared" si="78"/>
        <v>100</v>
      </c>
    </row>
    <row r="437" spans="1:8">
      <c r="A437" s="12" t="s">
        <v>329</v>
      </c>
      <c r="B437" s="13" t="s">
        <v>318</v>
      </c>
      <c r="C437" s="13" t="s">
        <v>5</v>
      </c>
      <c r="D437" s="13" t="s">
        <v>346</v>
      </c>
      <c r="E437" s="13" t="s">
        <v>330</v>
      </c>
      <c r="F437" s="14">
        <f>872800-113104.09</f>
        <v>759695.91</v>
      </c>
      <c r="G437" s="14">
        <f>872800-113104.09</f>
        <v>759695.91</v>
      </c>
      <c r="H437" s="71">
        <f t="shared" si="78"/>
        <v>100</v>
      </c>
    </row>
    <row r="438" spans="1:8" outlineLevel="1">
      <c r="A438" s="9" t="s">
        <v>347</v>
      </c>
      <c r="B438" s="10" t="s">
        <v>318</v>
      </c>
      <c r="C438" s="10" t="s">
        <v>10</v>
      </c>
      <c r="D438" s="10" t="s">
        <v>7</v>
      </c>
      <c r="E438" s="10" t="s">
        <v>8</v>
      </c>
      <c r="F438" s="11">
        <f>F439+F518+F523</f>
        <v>717941379.67999995</v>
      </c>
      <c r="G438" s="11">
        <f>G439+G518+G523</f>
        <v>716998841.78999996</v>
      </c>
      <c r="H438" s="71">
        <f t="shared" si="78"/>
        <v>99.868716594881306</v>
      </c>
    </row>
    <row r="439" spans="1:8" ht="31.5" outlineLevel="1">
      <c r="A439" s="9" t="s">
        <v>320</v>
      </c>
      <c r="B439" s="10" t="s">
        <v>318</v>
      </c>
      <c r="C439" s="10" t="s">
        <v>10</v>
      </c>
      <c r="D439" s="10" t="s">
        <v>321</v>
      </c>
      <c r="E439" s="10" t="s">
        <v>8</v>
      </c>
      <c r="F439" s="11">
        <f>F440+F504+F508</f>
        <v>715914570.79999995</v>
      </c>
      <c r="G439" s="11">
        <f>G440+G504+G508</f>
        <v>714972032.90999997</v>
      </c>
      <c r="H439" s="71">
        <f t="shared" si="78"/>
        <v>99.868344921525093</v>
      </c>
    </row>
    <row r="440" spans="1:8" outlineLevel="1">
      <c r="A440" s="45" t="s">
        <v>348</v>
      </c>
      <c r="B440" s="10" t="s">
        <v>318</v>
      </c>
      <c r="C440" s="10" t="s">
        <v>10</v>
      </c>
      <c r="D440" s="10" t="s">
        <v>349</v>
      </c>
      <c r="E440" s="10" t="s">
        <v>8</v>
      </c>
      <c r="F440" s="11">
        <f>F441+F451+F456+F459+F466+F471+F474+F477+F481+F483+F486+F493+F496+F499</f>
        <v>711864469.17999995</v>
      </c>
      <c r="G440" s="11">
        <f>G441+G451+G456+G459+G466+G471+G474+G477+G481+G483+G486+G493+G496+G499</f>
        <v>711021931.28999996</v>
      </c>
      <c r="H440" s="71">
        <f t="shared" si="78"/>
        <v>99.881643497255794</v>
      </c>
    </row>
    <row r="441" spans="1:8" ht="31.5" outlineLevel="1">
      <c r="A441" s="9" t="s">
        <v>100</v>
      </c>
      <c r="B441" s="10" t="s">
        <v>318</v>
      </c>
      <c r="C441" s="10" t="s">
        <v>10</v>
      </c>
      <c r="D441" s="10" t="s">
        <v>350</v>
      </c>
      <c r="E441" s="10" t="s">
        <v>8</v>
      </c>
      <c r="F441" s="11">
        <f>F442</f>
        <v>171095932.26000002</v>
      </c>
      <c r="G441" s="11">
        <f>G442</f>
        <v>170943453.65000001</v>
      </c>
      <c r="H441" s="71">
        <f t="shared" si="78"/>
        <v>99.910881218515286</v>
      </c>
    </row>
    <row r="442" spans="1:8" ht="31.5" outlineLevel="2">
      <c r="A442" s="9" t="s">
        <v>351</v>
      </c>
      <c r="B442" s="10" t="s">
        <v>318</v>
      </c>
      <c r="C442" s="10" t="s">
        <v>10</v>
      </c>
      <c r="D442" s="10" t="s">
        <v>352</v>
      </c>
      <c r="E442" s="10" t="s">
        <v>8</v>
      </c>
      <c r="F442" s="11">
        <f>F443+F445+F447+F449</f>
        <v>171095932.26000002</v>
      </c>
      <c r="G442" s="11">
        <f>G443+G445+G447+G449</f>
        <v>170943453.65000001</v>
      </c>
      <c r="H442" s="71">
        <f t="shared" si="78"/>
        <v>99.910881218515286</v>
      </c>
    </row>
    <row r="443" spans="1:8" ht="63" outlineLevel="3">
      <c r="A443" s="9" t="s">
        <v>17</v>
      </c>
      <c r="B443" s="10" t="s">
        <v>318</v>
      </c>
      <c r="C443" s="10" t="s">
        <v>10</v>
      </c>
      <c r="D443" s="10" t="s">
        <v>352</v>
      </c>
      <c r="E443" s="10" t="s">
        <v>18</v>
      </c>
      <c r="F443" s="11">
        <f>F444</f>
        <v>15181461.089999996</v>
      </c>
      <c r="G443" s="11">
        <f>G444</f>
        <v>15181461.089999996</v>
      </c>
      <c r="H443" s="71">
        <f t="shared" si="78"/>
        <v>100</v>
      </c>
    </row>
    <row r="444" spans="1:8" outlineLevel="5">
      <c r="A444" s="9" t="s">
        <v>78</v>
      </c>
      <c r="B444" s="10" t="s">
        <v>318</v>
      </c>
      <c r="C444" s="10" t="s">
        <v>10</v>
      </c>
      <c r="D444" s="10" t="s">
        <v>352</v>
      </c>
      <c r="E444" s="10" t="s">
        <v>79</v>
      </c>
      <c r="F444" s="11">
        <f>95506000-80310817.45-13721.46</f>
        <v>15181461.089999996</v>
      </c>
      <c r="G444" s="11">
        <f>95506000-80310817.45-13721.46</f>
        <v>15181461.089999996</v>
      </c>
      <c r="H444" s="71">
        <f t="shared" si="78"/>
        <v>100</v>
      </c>
    </row>
    <row r="445" spans="1:8" ht="31.5" outlineLevel="5">
      <c r="A445" s="9" t="s">
        <v>25</v>
      </c>
      <c r="B445" s="10" t="s">
        <v>318</v>
      </c>
      <c r="C445" s="10" t="s">
        <v>10</v>
      </c>
      <c r="D445" s="10" t="s">
        <v>352</v>
      </c>
      <c r="E445" s="10" t="s">
        <v>26</v>
      </c>
      <c r="F445" s="11">
        <f>F446</f>
        <v>6462866.0500000007</v>
      </c>
      <c r="G445" s="11">
        <f>G446</f>
        <v>6462866.0500000007</v>
      </c>
      <c r="H445" s="71">
        <f t="shared" si="78"/>
        <v>100</v>
      </c>
    </row>
    <row r="446" spans="1:8" ht="31.5" outlineLevel="5">
      <c r="A446" s="9" t="s">
        <v>27</v>
      </c>
      <c r="B446" s="10" t="s">
        <v>318</v>
      </c>
      <c r="C446" s="10" t="s">
        <v>10</v>
      </c>
      <c r="D446" s="10" t="s">
        <v>352</v>
      </c>
      <c r="E446" s="10" t="s">
        <v>28</v>
      </c>
      <c r="F446" s="11">
        <f>63850000-15151.52-57361830.66-10151.77</f>
        <v>6462866.0500000007</v>
      </c>
      <c r="G446" s="11">
        <f>63850000-15151.52-57361830.66-10151.77</f>
        <v>6462866.0500000007</v>
      </c>
      <c r="H446" s="71">
        <f t="shared" si="78"/>
        <v>100</v>
      </c>
    </row>
    <row r="447" spans="1:8" ht="31.5" outlineLevel="5">
      <c r="A447" s="9" t="s">
        <v>327</v>
      </c>
      <c r="B447" s="10" t="s">
        <v>318</v>
      </c>
      <c r="C447" s="10" t="s">
        <v>10</v>
      </c>
      <c r="D447" s="10" t="s">
        <v>352</v>
      </c>
      <c r="E447" s="10" t="s">
        <v>328</v>
      </c>
      <c r="F447" s="11">
        <f>F448</f>
        <v>149421596.44000003</v>
      </c>
      <c r="G447" s="11">
        <f>G448</f>
        <v>149269117.83000001</v>
      </c>
      <c r="H447" s="71">
        <f t="shared" ref="H447:H507" si="91">G447/F447*100</f>
        <v>99.897954101928462</v>
      </c>
    </row>
    <row r="448" spans="1:8" outlineLevel="5">
      <c r="A448" s="12" t="s">
        <v>329</v>
      </c>
      <c r="B448" s="13" t="s">
        <v>318</v>
      </c>
      <c r="C448" s="13" t="s">
        <v>10</v>
      </c>
      <c r="D448" s="13" t="s">
        <v>352</v>
      </c>
      <c r="E448" s="13" t="s">
        <v>330</v>
      </c>
      <c r="F448" s="14">
        <f>150452639.43+10151.77-5046337.05-555840-392492.88+13721.46+5000+60487.74+2500000+2374265.97</f>
        <v>149421596.44000003</v>
      </c>
      <c r="G448" s="72">
        <v>149269117.83000001</v>
      </c>
      <c r="H448" s="71">
        <f t="shared" si="91"/>
        <v>99.897954101928462</v>
      </c>
    </row>
    <row r="449" spans="1:8" outlineLevel="5">
      <c r="A449" s="9" t="s">
        <v>35</v>
      </c>
      <c r="B449" s="10" t="s">
        <v>318</v>
      </c>
      <c r="C449" s="10" t="s">
        <v>10</v>
      </c>
      <c r="D449" s="10" t="s">
        <v>352</v>
      </c>
      <c r="E449" s="10" t="s">
        <v>36</v>
      </c>
      <c r="F449" s="11">
        <f>F450</f>
        <v>30008.679999999702</v>
      </c>
      <c r="G449" s="11">
        <f>G450</f>
        <v>30008.679999999702</v>
      </c>
      <c r="H449" s="71">
        <f t="shared" si="91"/>
        <v>100</v>
      </c>
    </row>
    <row r="450" spans="1:8" outlineLevel="5">
      <c r="A450" s="9" t="s">
        <v>37</v>
      </c>
      <c r="B450" s="10" t="s">
        <v>318</v>
      </c>
      <c r="C450" s="10" t="s">
        <v>10</v>
      </c>
      <c r="D450" s="10" t="s">
        <v>352</v>
      </c>
      <c r="E450" s="10" t="s">
        <v>38</v>
      </c>
      <c r="F450" s="11">
        <f>12815000-12779991.32-5000</f>
        <v>30008.679999999702</v>
      </c>
      <c r="G450" s="11">
        <f>12815000-12779991.32-5000</f>
        <v>30008.679999999702</v>
      </c>
      <c r="H450" s="71">
        <f t="shared" si="91"/>
        <v>100</v>
      </c>
    </row>
    <row r="451" spans="1:8" ht="47.25" outlineLevel="5">
      <c r="A451" s="9" t="s">
        <v>353</v>
      </c>
      <c r="B451" s="10" t="s">
        <v>318</v>
      </c>
      <c r="C451" s="10" t="s">
        <v>10</v>
      </c>
      <c r="D451" s="10" t="s">
        <v>354</v>
      </c>
      <c r="E451" s="10" t="s">
        <v>8</v>
      </c>
      <c r="F451" s="11">
        <f>F452+F454</f>
        <v>39630240</v>
      </c>
      <c r="G451" s="11">
        <f>G452+G454</f>
        <v>39630240</v>
      </c>
      <c r="H451" s="71">
        <f t="shared" si="91"/>
        <v>100</v>
      </c>
    </row>
    <row r="452" spans="1:8" ht="63" outlineLevel="5">
      <c r="A452" s="9" t="s">
        <v>17</v>
      </c>
      <c r="B452" s="10" t="s">
        <v>318</v>
      </c>
      <c r="C452" s="10" t="s">
        <v>10</v>
      </c>
      <c r="D452" s="10" t="s">
        <v>354</v>
      </c>
      <c r="E452" s="10" t="s">
        <v>18</v>
      </c>
      <c r="F452" s="11">
        <f>F453</f>
        <v>3460000</v>
      </c>
      <c r="G452" s="11">
        <f>G453</f>
        <v>3460000</v>
      </c>
      <c r="H452" s="71">
        <f t="shared" si="91"/>
        <v>100</v>
      </c>
    </row>
    <row r="453" spans="1:8" outlineLevel="5">
      <c r="A453" s="9" t="s">
        <v>78</v>
      </c>
      <c r="B453" s="10" t="s">
        <v>318</v>
      </c>
      <c r="C453" s="10" t="s">
        <v>10</v>
      </c>
      <c r="D453" s="10" t="s">
        <v>354</v>
      </c>
      <c r="E453" s="10" t="s">
        <v>79</v>
      </c>
      <c r="F453" s="11">
        <f>29835000-2223000-24152000</f>
        <v>3460000</v>
      </c>
      <c r="G453" s="11">
        <f>29835000-2223000-24152000</f>
        <v>3460000</v>
      </c>
      <c r="H453" s="71">
        <f t="shared" si="91"/>
        <v>100</v>
      </c>
    </row>
    <row r="454" spans="1:8" ht="31.5" outlineLevel="5">
      <c r="A454" s="9" t="s">
        <v>327</v>
      </c>
      <c r="B454" s="10" t="s">
        <v>318</v>
      </c>
      <c r="C454" s="10" t="s">
        <v>10</v>
      </c>
      <c r="D454" s="10" t="s">
        <v>354</v>
      </c>
      <c r="E454" s="10" t="s">
        <v>328</v>
      </c>
      <c r="F454" s="11">
        <f>F455</f>
        <v>36170240</v>
      </c>
      <c r="G454" s="11">
        <f>G455</f>
        <v>36170240</v>
      </c>
      <c r="H454" s="71">
        <f t="shared" si="91"/>
        <v>100</v>
      </c>
    </row>
    <row r="455" spans="1:8" outlineLevel="5">
      <c r="A455" s="9" t="s">
        <v>329</v>
      </c>
      <c r="B455" s="10" t="s">
        <v>318</v>
      </c>
      <c r="C455" s="10" t="s">
        <v>10</v>
      </c>
      <c r="D455" s="10" t="s">
        <v>354</v>
      </c>
      <c r="E455" s="10" t="s">
        <v>330</v>
      </c>
      <c r="F455" s="11">
        <v>36170240</v>
      </c>
      <c r="G455" s="72">
        <v>36170240</v>
      </c>
      <c r="H455" s="71">
        <f t="shared" si="91"/>
        <v>100</v>
      </c>
    </row>
    <row r="456" spans="1:8" outlineLevel="5">
      <c r="A456" s="28" t="s">
        <v>355</v>
      </c>
      <c r="B456" s="10" t="s">
        <v>318</v>
      </c>
      <c r="C456" s="10" t="s">
        <v>10</v>
      </c>
      <c r="D456" s="10" t="s">
        <v>356</v>
      </c>
      <c r="E456" s="10" t="s">
        <v>8</v>
      </c>
      <c r="F456" s="11">
        <f t="shared" ref="F456:G457" si="92">F457</f>
        <v>1435123.06</v>
      </c>
      <c r="G456" s="11">
        <f t="shared" si="92"/>
        <v>1211641.01</v>
      </c>
      <c r="H456" s="71">
        <f t="shared" si="91"/>
        <v>84.427673401053156</v>
      </c>
    </row>
    <row r="457" spans="1:8" ht="31.5" outlineLevel="5">
      <c r="A457" s="9" t="s">
        <v>327</v>
      </c>
      <c r="B457" s="10" t="s">
        <v>318</v>
      </c>
      <c r="C457" s="10" t="s">
        <v>10</v>
      </c>
      <c r="D457" s="10" t="s">
        <v>356</v>
      </c>
      <c r="E457" s="10" t="s">
        <v>328</v>
      </c>
      <c r="F457" s="11">
        <f t="shared" si="92"/>
        <v>1435123.06</v>
      </c>
      <c r="G457" s="11">
        <f t="shared" si="92"/>
        <v>1211641.01</v>
      </c>
      <c r="H457" s="71">
        <f t="shared" si="91"/>
        <v>84.427673401053156</v>
      </c>
    </row>
    <row r="458" spans="1:8" outlineLevel="5">
      <c r="A458" s="9" t="s">
        <v>329</v>
      </c>
      <c r="B458" s="10" t="s">
        <v>318</v>
      </c>
      <c r="C458" s="10" t="s">
        <v>10</v>
      </c>
      <c r="D458" s="10" t="s">
        <v>356</v>
      </c>
      <c r="E458" s="10" t="s">
        <v>330</v>
      </c>
      <c r="F458" s="11">
        <v>1435123.06</v>
      </c>
      <c r="G458" s="72">
        <v>1211641.01</v>
      </c>
      <c r="H458" s="71">
        <f t="shared" si="91"/>
        <v>84.427673401053156</v>
      </c>
    </row>
    <row r="459" spans="1:8" ht="78.75" outlineLevel="5">
      <c r="A459" s="9" t="s">
        <v>357</v>
      </c>
      <c r="B459" s="10" t="s">
        <v>318</v>
      </c>
      <c r="C459" s="10" t="s">
        <v>10</v>
      </c>
      <c r="D459" s="10" t="s">
        <v>358</v>
      </c>
      <c r="E459" s="10" t="s">
        <v>8</v>
      </c>
      <c r="F459" s="11">
        <f>F460+F462+F464</f>
        <v>433250335</v>
      </c>
      <c r="G459" s="11">
        <f>G460+G462+G464</f>
        <v>433250335</v>
      </c>
      <c r="H459" s="71">
        <f t="shared" si="91"/>
        <v>100</v>
      </c>
    </row>
    <row r="460" spans="1:8" ht="63" outlineLevel="5">
      <c r="A460" s="9" t="s">
        <v>17</v>
      </c>
      <c r="B460" s="10" t="s">
        <v>318</v>
      </c>
      <c r="C460" s="10" t="s">
        <v>10</v>
      </c>
      <c r="D460" s="10" t="s">
        <v>358</v>
      </c>
      <c r="E460" s="10" t="s">
        <v>18</v>
      </c>
      <c r="F460" s="11">
        <f>F461</f>
        <v>73772819.140000015</v>
      </c>
      <c r="G460" s="11">
        <f>G461</f>
        <v>73772819.140000015</v>
      </c>
      <c r="H460" s="71">
        <f t="shared" si="91"/>
        <v>100</v>
      </c>
    </row>
    <row r="461" spans="1:8" outlineLevel="5">
      <c r="A461" s="12" t="s">
        <v>78</v>
      </c>
      <c r="B461" s="13" t="s">
        <v>318</v>
      </c>
      <c r="C461" s="13" t="s">
        <v>10</v>
      </c>
      <c r="D461" s="13" t="s">
        <v>358</v>
      </c>
      <c r="E461" s="13" t="s">
        <v>79</v>
      </c>
      <c r="F461" s="14">
        <f>422283265-348510349.7-96.16</f>
        <v>73772819.140000015</v>
      </c>
      <c r="G461" s="14">
        <f>422283265-348510349.7-96.16</f>
        <v>73772819.140000015</v>
      </c>
      <c r="H461" s="71">
        <f t="shared" si="91"/>
        <v>100</v>
      </c>
    </row>
    <row r="462" spans="1:8" ht="31.5" outlineLevel="5">
      <c r="A462" s="9" t="s">
        <v>25</v>
      </c>
      <c r="B462" s="10" t="s">
        <v>318</v>
      </c>
      <c r="C462" s="10" t="s">
        <v>10</v>
      </c>
      <c r="D462" s="10" t="s">
        <v>358</v>
      </c>
      <c r="E462" s="10" t="s">
        <v>26</v>
      </c>
      <c r="F462" s="11">
        <f>F463</f>
        <v>346837.30999999924</v>
      </c>
      <c r="G462" s="11">
        <f>G463</f>
        <v>346837.30999999924</v>
      </c>
      <c r="H462" s="71">
        <f t="shared" si="91"/>
        <v>100</v>
      </c>
    </row>
    <row r="463" spans="1:8" ht="31.5" outlineLevel="5">
      <c r="A463" s="9" t="s">
        <v>27</v>
      </c>
      <c r="B463" s="10" t="s">
        <v>318</v>
      </c>
      <c r="C463" s="10" t="s">
        <v>10</v>
      </c>
      <c r="D463" s="10" t="s">
        <v>358</v>
      </c>
      <c r="E463" s="10" t="s">
        <v>28</v>
      </c>
      <c r="F463" s="11">
        <f>10967070-10619985.3-247.39</f>
        <v>346837.30999999924</v>
      </c>
      <c r="G463" s="11">
        <f>10967070-10619985.3-247.39</f>
        <v>346837.30999999924</v>
      </c>
      <c r="H463" s="71">
        <f t="shared" si="91"/>
        <v>100</v>
      </c>
    </row>
    <row r="464" spans="1:8" ht="31.5" outlineLevel="5">
      <c r="A464" s="9" t="s">
        <v>327</v>
      </c>
      <c r="B464" s="10" t="s">
        <v>318</v>
      </c>
      <c r="C464" s="10" t="s">
        <v>10</v>
      </c>
      <c r="D464" s="10" t="s">
        <v>358</v>
      </c>
      <c r="E464" s="10" t="s">
        <v>328</v>
      </c>
      <c r="F464" s="11">
        <f>F465</f>
        <v>359130678.55000001</v>
      </c>
      <c r="G464" s="11">
        <f>G465</f>
        <v>359130678.55000001</v>
      </c>
      <c r="H464" s="71">
        <f t="shared" si="91"/>
        <v>100</v>
      </c>
    </row>
    <row r="465" spans="1:8" outlineLevel="5">
      <c r="A465" s="12" t="s">
        <v>329</v>
      </c>
      <c r="B465" s="13" t="s">
        <v>318</v>
      </c>
      <c r="C465" s="13" t="s">
        <v>10</v>
      </c>
      <c r="D465" s="13" t="s">
        <v>358</v>
      </c>
      <c r="E465" s="13" t="s">
        <v>330</v>
      </c>
      <c r="F465" s="14">
        <f>359130335+247.39+96.16</f>
        <v>359130678.55000001</v>
      </c>
      <c r="G465" s="14">
        <f>359130335+247.39+96.16</f>
        <v>359130678.55000001</v>
      </c>
      <c r="H465" s="71">
        <f t="shared" si="91"/>
        <v>100</v>
      </c>
    </row>
    <row r="466" spans="1:8" ht="47.25" outlineLevel="5">
      <c r="A466" s="9" t="s">
        <v>359</v>
      </c>
      <c r="B466" s="10" t="s">
        <v>318</v>
      </c>
      <c r="C466" s="10" t="s">
        <v>10</v>
      </c>
      <c r="D466" s="10" t="s">
        <v>360</v>
      </c>
      <c r="E466" s="10" t="s">
        <v>8</v>
      </c>
      <c r="F466" s="11">
        <f>F467+F469</f>
        <v>18048050</v>
      </c>
      <c r="G466" s="11">
        <f>G467+G469</f>
        <v>18048050</v>
      </c>
      <c r="H466" s="71">
        <f t="shared" si="91"/>
        <v>100</v>
      </c>
    </row>
    <row r="467" spans="1:8" ht="31.5" outlineLevel="5">
      <c r="A467" s="9" t="s">
        <v>25</v>
      </c>
      <c r="B467" s="10" t="s">
        <v>318</v>
      </c>
      <c r="C467" s="10" t="s">
        <v>10</v>
      </c>
      <c r="D467" s="10" t="s">
        <v>360</v>
      </c>
      <c r="E467" s="10" t="s">
        <v>26</v>
      </c>
      <c r="F467" s="11">
        <f>F468</f>
        <v>1995983.8500000015</v>
      </c>
      <c r="G467" s="11">
        <f>G468</f>
        <v>1995983.8500000015</v>
      </c>
      <c r="H467" s="71">
        <f t="shared" si="91"/>
        <v>100</v>
      </c>
    </row>
    <row r="468" spans="1:8" ht="31.5" outlineLevel="5">
      <c r="A468" s="9" t="s">
        <v>27</v>
      </c>
      <c r="B468" s="10" t="s">
        <v>318</v>
      </c>
      <c r="C468" s="10" t="s">
        <v>10</v>
      </c>
      <c r="D468" s="10" t="s">
        <v>360</v>
      </c>
      <c r="E468" s="10" t="s">
        <v>28</v>
      </c>
      <c r="F468" s="11">
        <f>22859900+1762900-22626816.15</f>
        <v>1995983.8500000015</v>
      </c>
      <c r="G468" s="11">
        <f>22859900+1762900-22626816.15</f>
        <v>1995983.8500000015</v>
      </c>
      <c r="H468" s="71">
        <f t="shared" si="91"/>
        <v>100</v>
      </c>
    </row>
    <row r="469" spans="1:8" ht="31.5" outlineLevel="5">
      <c r="A469" s="9" t="s">
        <v>327</v>
      </c>
      <c r="B469" s="10" t="s">
        <v>318</v>
      </c>
      <c r="C469" s="10" t="s">
        <v>10</v>
      </c>
      <c r="D469" s="10" t="s">
        <v>360</v>
      </c>
      <c r="E469" s="10" t="s">
        <v>328</v>
      </c>
      <c r="F469" s="11">
        <f>F470</f>
        <v>16052066.15</v>
      </c>
      <c r="G469" s="11">
        <f>G470</f>
        <v>16052066.15</v>
      </c>
      <c r="H469" s="71">
        <f t="shared" si="91"/>
        <v>100</v>
      </c>
    </row>
    <row r="470" spans="1:8" outlineLevel="5">
      <c r="A470" s="9" t="s">
        <v>329</v>
      </c>
      <c r="B470" s="10" t="s">
        <v>318</v>
      </c>
      <c r="C470" s="10" t="s">
        <v>10</v>
      </c>
      <c r="D470" s="10" t="s">
        <v>360</v>
      </c>
      <c r="E470" s="10" t="s">
        <v>330</v>
      </c>
      <c r="F470" s="11">
        <v>16052066.15</v>
      </c>
      <c r="G470" s="72">
        <v>16052066.15</v>
      </c>
      <c r="H470" s="71">
        <f t="shared" si="91"/>
        <v>100</v>
      </c>
    </row>
    <row r="471" spans="1:8" ht="63" outlineLevel="5">
      <c r="A471" s="9" t="s">
        <v>209</v>
      </c>
      <c r="B471" s="10" t="s">
        <v>318</v>
      </c>
      <c r="C471" s="10" t="s">
        <v>10</v>
      </c>
      <c r="D471" s="10" t="s">
        <v>361</v>
      </c>
      <c r="E471" s="10" t="s">
        <v>8</v>
      </c>
      <c r="F471" s="11">
        <f t="shared" ref="F471:G472" si="93">F472</f>
        <v>9785620</v>
      </c>
      <c r="G471" s="11">
        <f t="shared" si="93"/>
        <v>9785612.9800000004</v>
      </c>
      <c r="H471" s="71">
        <f t="shared" si="91"/>
        <v>99.999928262082534</v>
      </c>
    </row>
    <row r="472" spans="1:8" ht="31.5" outlineLevel="5">
      <c r="A472" s="9" t="s">
        <v>327</v>
      </c>
      <c r="B472" s="10" t="s">
        <v>318</v>
      </c>
      <c r="C472" s="10" t="s">
        <v>10</v>
      </c>
      <c r="D472" s="10" t="s">
        <v>361</v>
      </c>
      <c r="E472" s="10" t="s">
        <v>328</v>
      </c>
      <c r="F472" s="11">
        <f t="shared" si="93"/>
        <v>9785620</v>
      </c>
      <c r="G472" s="11">
        <f t="shared" si="93"/>
        <v>9785612.9800000004</v>
      </c>
      <c r="H472" s="71">
        <f t="shared" si="91"/>
        <v>99.999928262082534</v>
      </c>
    </row>
    <row r="473" spans="1:8" outlineLevel="5">
      <c r="A473" s="9" t="s">
        <v>329</v>
      </c>
      <c r="B473" s="10" t="s">
        <v>318</v>
      </c>
      <c r="C473" s="10" t="s">
        <v>10</v>
      </c>
      <c r="D473" s="10" t="s">
        <v>361</v>
      </c>
      <c r="E473" s="10" t="s">
        <v>330</v>
      </c>
      <c r="F473" s="11">
        <v>9785620</v>
      </c>
      <c r="G473" s="72">
        <v>9785612.9800000004</v>
      </c>
      <c r="H473" s="71">
        <f t="shared" si="91"/>
        <v>99.999928262082534</v>
      </c>
    </row>
    <row r="474" spans="1:8" outlineLevel="5">
      <c r="A474" s="9" t="s">
        <v>362</v>
      </c>
      <c r="B474" s="10" t="s">
        <v>318</v>
      </c>
      <c r="C474" s="10" t="s">
        <v>10</v>
      </c>
      <c r="D474" s="10" t="s">
        <v>363</v>
      </c>
      <c r="E474" s="10" t="s">
        <v>8</v>
      </c>
      <c r="F474" s="11">
        <f t="shared" ref="F474:G475" si="94">F475</f>
        <v>150000</v>
      </c>
      <c r="G474" s="11">
        <f t="shared" si="94"/>
        <v>0</v>
      </c>
      <c r="H474" s="71">
        <f t="shared" si="91"/>
        <v>0</v>
      </c>
    </row>
    <row r="475" spans="1:8" ht="31.5" outlineLevel="5">
      <c r="A475" s="9" t="s">
        <v>25</v>
      </c>
      <c r="B475" s="10" t="s">
        <v>318</v>
      </c>
      <c r="C475" s="10" t="s">
        <v>10</v>
      </c>
      <c r="D475" s="10" t="s">
        <v>363</v>
      </c>
      <c r="E475" s="10" t="s">
        <v>26</v>
      </c>
      <c r="F475" s="11">
        <f t="shared" si="94"/>
        <v>150000</v>
      </c>
      <c r="G475" s="11">
        <f t="shared" si="94"/>
        <v>0</v>
      </c>
      <c r="H475" s="71">
        <f t="shared" si="91"/>
        <v>0</v>
      </c>
    </row>
    <row r="476" spans="1:8" ht="31.5" outlineLevel="5">
      <c r="A476" s="9" t="s">
        <v>27</v>
      </c>
      <c r="B476" s="10" t="s">
        <v>318</v>
      </c>
      <c r="C476" s="10" t="s">
        <v>10</v>
      </c>
      <c r="D476" s="10" t="s">
        <v>363</v>
      </c>
      <c r="E476" s="10" t="s">
        <v>28</v>
      </c>
      <c r="F476" s="11">
        <v>150000</v>
      </c>
      <c r="G476" s="11">
        <v>0</v>
      </c>
      <c r="H476" s="71">
        <f t="shared" si="91"/>
        <v>0</v>
      </c>
    </row>
    <row r="477" spans="1:8" ht="94.5" outlineLevel="5">
      <c r="A477" s="9" t="s">
        <v>364</v>
      </c>
      <c r="B477" s="10" t="s">
        <v>318</v>
      </c>
      <c r="C477" s="10" t="s">
        <v>10</v>
      </c>
      <c r="D477" s="10" t="s">
        <v>365</v>
      </c>
      <c r="E477" s="10" t="s">
        <v>8</v>
      </c>
      <c r="F477" s="11">
        <f t="shared" ref="F477:G478" si="95">F478</f>
        <v>507780</v>
      </c>
      <c r="G477" s="11">
        <f t="shared" si="95"/>
        <v>507780</v>
      </c>
      <c r="H477" s="71">
        <f t="shared" si="91"/>
        <v>100</v>
      </c>
    </row>
    <row r="478" spans="1:8" ht="31.5" outlineLevel="5">
      <c r="A478" s="9" t="s">
        <v>327</v>
      </c>
      <c r="B478" s="10" t="s">
        <v>318</v>
      </c>
      <c r="C478" s="10" t="s">
        <v>10</v>
      </c>
      <c r="D478" s="10" t="s">
        <v>365</v>
      </c>
      <c r="E478" s="10" t="s">
        <v>328</v>
      </c>
      <c r="F478" s="11">
        <f t="shared" si="95"/>
        <v>507780</v>
      </c>
      <c r="G478" s="11">
        <f t="shared" si="95"/>
        <v>507780</v>
      </c>
      <c r="H478" s="71">
        <f t="shared" si="91"/>
        <v>100</v>
      </c>
    </row>
    <row r="479" spans="1:8" outlineLevel="5">
      <c r="A479" s="9" t="s">
        <v>329</v>
      </c>
      <c r="B479" s="10" t="s">
        <v>318</v>
      </c>
      <c r="C479" s="10" t="s">
        <v>10</v>
      </c>
      <c r="D479" s="10" t="s">
        <v>365</v>
      </c>
      <c r="E479" s="10" t="s">
        <v>330</v>
      </c>
      <c r="F479" s="11">
        <v>507780</v>
      </c>
      <c r="G479" s="11">
        <v>507780</v>
      </c>
      <c r="H479" s="71">
        <f t="shared" si="91"/>
        <v>100</v>
      </c>
    </row>
    <row r="480" spans="1:8" ht="47.25" outlineLevel="5">
      <c r="A480" s="9" t="s">
        <v>366</v>
      </c>
      <c r="B480" s="10" t="s">
        <v>318</v>
      </c>
      <c r="C480" s="10" t="s">
        <v>10</v>
      </c>
      <c r="D480" s="10" t="s">
        <v>367</v>
      </c>
      <c r="E480" s="10" t="s">
        <v>8</v>
      </c>
      <c r="F480" s="11">
        <f t="shared" ref="F480:G481" si="96">F481</f>
        <v>249849.63</v>
      </c>
      <c r="G480" s="11">
        <f t="shared" si="96"/>
        <v>249849.63</v>
      </c>
      <c r="H480" s="71">
        <f t="shared" si="91"/>
        <v>100</v>
      </c>
    </row>
    <row r="481" spans="1:8" ht="31.5" outlineLevel="5">
      <c r="A481" s="9" t="s">
        <v>327</v>
      </c>
      <c r="B481" s="10" t="s">
        <v>318</v>
      </c>
      <c r="C481" s="10" t="s">
        <v>10</v>
      </c>
      <c r="D481" s="10" t="s">
        <v>367</v>
      </c>
      <c r="E481" s="10" t="s">
        <v>328</v>
      </c>
      <c r="F481" s="11">
        <f t="shared" si="96"/>
        <v>249849.63</v>
      </c>
      <c r="G481" s="11">
        <f t="shared" si="96"/>
        <v>249849.63</v>
      </c>
      <c r="H481" s="71">
        <f t="shared" si="91"/>
        <v>100</v>
      </c>
    </row>
    <row r="482" spans="1:8" outlineLevel="5">
      <c r="A482" s="12" t="s">
        <v>329</v>
      </c>
      <c r="B482" s="13" t="s">
        <v>318</v>
      </c>
      <c r="C482" s="13" t="s">
        <v>10</v>
      </c>
      <c r="D482" s="13" t="s">
        <v>367</v>
      </c>
      <c r="E482" s="13" t="s">
        <v>330</v>
      </c>
      <c r="F482" s="14">
        <v>249849.63</v>
      </c>
      <c r="G482" s="14">
        <v>249849.63</v>
      </c>
      <c r="H482" s="71">
        <f t="shared" si="91"/>
        <v>100</v>
      </c>
    </row>
    <row r="483" spans="1:8" ht="16.5" outlineLevel="5">
      <c r="A483" s="46" t="s">
        <v>333</v>
      </c>
      <c r="B483" s="10" t="s">
        <v>318</v>
      </c>
      <c r="C483" s="10" t="s">
        <v>10</v>
      </c>
      <c r="D483" s="10" t="s">
        <v>368</v>
      </c>
      <c r="E483" s="10" t="s">
        <v>8</v>
      </c>
      <c r="F483" s="11">
        <f t="shared" ref="F483:G484" si="97">F484</f>
        <v>4055626.03</v>
      </c>
      <c r="G483" s="11">
        <f t="shared" si="97"/>
        <v>4055626.03</v>
      </c>
      <c r="H483" s="71">
        <f t="shared" si="91"/>
        <v>100</v>
      </c>
    </row>
    <row r="484" spans="1:8" ht="31.5" outlineLevel="5">
      <c r="A484" s="9" t="s">
        <v>327</v>
      </c>
      <c r="B484" s="10" t="s">
        <v>318</v>
      </c>
      <c r="C484" s="10" t="s">
        <v>10</v>
      </c>
      <c r="D484" s="10" t="s">
        <v>368</v>
      </c>
      <c r="E484" s="10" t="s">
        <v>328</v>
      </c>
      <c r="F484" s="11">
        <f t="shared" si="97"/>
        <v>4055626.03</v>
      </c>
      <c r="G484" s="11">
        <f t="shared" si="97"/>
        <v>4055626.03</v>
      </c>
      <c r="H484" s="71">
        <f t="shared" si="91"/>
        <v>100</v>
      </c>
    </row>
    <row r="485" spans="1:8" outlineLevel="5">
      <c r="A485" s="9" t="s">
        <v>329</v>
      </c>
      <c r="B485" s="10" t="s">
        <v>318</v>
      </c>
      <c r="C485" s="10" t="s">
        <v>10</v>
      </c>
      <c r="D485" s="10" t="s">
        <v>368</v>
      </c>
      <c r="E485" s="10" t="s">
        <v>330</v>
      </c>
      <c r="F485" s="11">
        <f>904690+491977.61+2473958.42+185000</f>
        <v>4055626.03</v>
      </c>
      <c r="G485" s="11">
        <f>904690+491977.61+2473958.42+185000</f>
        <v>4055626.03</v>
      </c>
      <c r="H485" s="71">
        <f t="shared" si="91"/>
        <v>100</v>
      </c>
    </row>
    <row r="486" spans="1:8" ht="31.5" outlineLevel="5">
      <c r="A486" s="9" t="s">
        <v>369</v>
      </c>
      <c r="B486" s="10" t="s">
        <v>318</v>
      </c>
      <c r="C486" s="10" t="s">
        <v>10</v>
      </c>
      <c r="D486" s="10" t="s">
        <v>370</v>
      </c>
      <c r="E486" s="10" t="s">
        <v>8</v>
      </c>
      <c r="F486" s="11">
        <f>F487+F489+F491</f>
        <v>11894050</v>
      </c>
      <c r="G486" s="11">
        <f>G487+G489+G491</f>
        <v>11894050</v>
      </c>
      <c r="H486" s="71">
        <f t="shared" si="91"/>
        <v>100</v>
      </c>
    </row>
    <row r="487" spans="1:8" ht="31.5" outlineLevel="5">
      <c r="A487" s="9" t="s">
        <v>25</v>
      </c>
      <c r="B487" s="10" t="s">
        <v>318</v>
      </c>
      <c r="C487" s="10" t="s">
        <v>10</v>
      </c>
      <c r="D487" s="10" t="s">
        <v>370</v>
      </c>
      <c r="E487" s="10" t="s">
        <v>26</v>
      </c>
      <c r="F487" s="11">
        <f>F488</f>
        <v>2076041.8399999999</v>
      </c>
      <c r="G487" s="11">
        <f>G488</f>
        <v>2076041.8399999999</v>
      </c>
      <c r="H487" s="71">
        <f t="shared" si="91"/>
        <v>100</v>
      </c>
    </row>
    <row r="488" spans="1:8" ht="31.5" outlineLevel="5">
      <c r="A488" s="9" t="s">
        <v>27</v>
      </c>
      <c r="B488" s="10" t="s">
        <v>318</v>
      </c>
      <c r="C488" s="10" t="s">
        <v>10</v>
      </c>
      <c r="D488" s="10" t="s">
        <v>370</v>
      </c>
      <c r="E488" s="10" t="s">
        <v>28</v>
      </c>
      <c r="F488" s="11">
        <f>10534950-8458908.16</f>
        <v>2076041.8399999999</v>
      </c>
      <c r="G488" s="11">
        <f>10534950-8458908.16</f>
        <v>2076041.8399999999</v>
      </c>
      <c r="H488" s="71">
        <f t="shared" si="91"/>
        <v>100</v>
      </c>
    </row>
    <row r="489" spans="1:8" outlineLevel="5">
      <c r="A489" s="9" t="s">
        <v>29</v>
      </c>
      <c r="B489" s="10" t="s">
        <v>318</v>
      </c>
      <c r="C489" s="10" t="s">
        <v>10</v>
      </c>
      <c r="D489" s="10" t="s">
        <v>370</v>
      </c>
      <c r="E489" s="10" t="s">
        <v>30</v>
      </c>
      <c r="F489" s="11">
        <f>F490</f>
        <v>153100</v>
      </c>
      <c r="G489" s="11">
        <f>G490</f>
        <v>153100</v>
      </c>
      <c r="H489" s="71">
        <f t="shared" si="91"/>
        <v>100</v>
      </c>
    </row>
    <row r="490" spans="1:8" ht="31.5" outlineLevel="5">
      <c r="A490" s="12" t="s">
        <v>31</v>
      </c>
      <c r="B490" s="13" t="s">
        <v>318</v>
      </c>
      <c r="C490" s="13" t="s">
        <v>10</v>
      </c>
      <c r="D490" s="13" t="s">
        <v>370</v>
      </c>
      <c r="E490" s="13" t="s">
        <v>32</v>
      </c>
      <c r="F490" s="14">
        <f>188650-35550</f>
        <v>153100</v>
      </c>
      <c r="G490" s="14">
        <f>188650-35550</f>
        <v>153100</v>
      </c>
      <c r="H490" s="71">
        <f t="shared" si="91"/>
        <v>100</v>
      </c>
    </row>
    <row r="491" spans="1:8" ht="31.5" outlineLevel="5">
      <c r="A491" s="9" t="s">
        <v>327</v>
      </c>
      <c r="B491" s="10" t="s">
        <v>318</v>
      </c>
      <c r="C491" s="10" t="s">
        <v>10</v>
      </c>
      <c r="D491" s="10" t="s">
        <v>370</v>
      </c>
      <c r="E491" s="10" t="s">
        <v>328</v>
      </c>
      <c r="F491" s="11">
        <f>F492</f>
        <v>9664908.1600000001</v>
      </c>
      <c r="G491" s="11">
        <f>G492</f>
        <v>9664908.1600000001</v>
      </c>
      <c r="H491" s="71">
        <f t="shared" si="91"/>
        <v>100</v>
      </c>
    </row>
    <row r="492" spans="1:8" outlineLevel="5">
      <c r="A492" s="12" t="s">
        <v>329</v>
      </c>
      <c r="B492" s="13" t="s">
        <v>318</v>
      </c>
      <c r="C492" s="13" t="s">
        <v>10</v>
      </c>
      <c r="D492" s="13" t="s">
        <v>370</v>
      </c>
      <c r="E492" s="13" t="s">
        <v>330</v>
      </c>
      <c r="F492" s="14">
        <v>9664908.1600000001</v>
      </c>
      <c r="G492" s="72">
        <v>9664908.1600000001</v>
      </c>
      <c r="H492" s="71">
        <f t="shared" si="91"/>
        <v>100</v>
      </c>
    </row>
    <row r="493" spans="1:8" ht="31.5" outlineLevel="5">
      <c r="A493" s="9" t="s">
        <v>371</v>
      </c>
      <c r="B493" s="10" t="s">
        <v>318</v>
      </c>
      <c r="C493" s="10" t="s">
        <v>10</v>
      </c>
      <c r="D493" s="10" t="s">
        <v>372</v>
      </c>
      <c r="E493" s="10" t="s">
        <v>8</v>
      </c>
      <c r="F493" s="11">
        <f t="shared" ref="F493:G494" si="98">F494</f>
        <v>17390769.280000001</v>
      </c>
      <c r="G493" s="11">
        <f t="shared" si="98"/>
        <v>17074199.07</v>
      </c>
      <c r="H493" s="71">
        <f t="shared" si="91"/>
        <v>98.179665287354084</v>
      </c>
    </row>
    <row r="494" spans="1:8" ht="31.5" outlineLevel="5">
      <c r="A494" s="9" t="s">
        <v>327</v>
      </c>
      <c r="B494" s="10" t="s">
        <v>318</v>
      </c>
      <c r="C494" s="10" t="s">
        <v>10</v>
      </c>
      <c r="D494" s="10" t="s">
        <v>372</v>
      </c>
      <c r="E494" s="10" t="s">
        <v>328</v>
      </c>
      <c r="F494" s="11">
        <f t="shared" si="98"/>
        <v>17390769.280000001</v>
      </c>
      <c r="G494" s="11">
        <f t="shared" si="98"/>
        <v>17074199.07</v>
      </c>
      <c r="H494" s="71">
        <f t="shared" si="91"/>
        <v>98.179665287354084</v>
      </c>
    </row>
    <row r="495" spans="1:8" outlineLevel="5">
      <c r="A495" s="9" t="s">
        <v>329</v>
      </c>
      <c r="B495" s="10" t="s">
        <v>318</v>
      </c>
      <c r="C495" s="10" t="s">
        <v>10</v>
      </c>
      <c r="D495" s="10" t="s">
        <v>372</v>
      </c>
      <c r="E495" s="10" t="s">
        <v>330</v>
      </c>
      <c r="F495" s="11">
        <v>17390769.280000001</v>
      </c>
      <c r="G495" s="72">
        <v>17074199.07</v>
      </c>
      <c r="H495" s="71">
        <f t="shared" si="91"/>
        <v>98.179665287354084</v>
      </c>
    </row>
    <row r="496" spans="1:8" ht="31.5" outlineLevel="5">
      <c r="A496" s="25" t="s">
        <v>373</v>
      </c>
      <c r="B496" s="10" t="s">
        <v>318</v>
      </c>
      <c r="C496" s="10" t="s">
        <v>10</v>
      </c>
      <c r="D496" s="10" t="s">
        <v>374</v>
      </c>
      <c r="E496" s="10" t="s">
        <v>8</v>
      </c>
      <c r="F496" s="11">
        <f t="shared" ref="F496:G497" si="99">F497</f>
        <v>1515151.52</v>
      </c>
      <c r="G496" s="11">
        <f t="shared" si="99"/>
        <v>1515151.52</v>
      </c>
      <c r="H496" s="71">
        <f t="shared" si="91"/>
        <v>100</v>
      </c>
    </row>
    <row r="497" spans="1:8" ht="31.5" outlineLevel="5">
      <c r="A497" s="9" t="s">
        <v>25</v>
      </c>
      <c r="B497" s="10" t="s">
        <v>318</v>
      </c>
      <c r="C497" s="10" t="s">
        <v>10</v>
      </c>
      <c r="D497" s="10" t="s">
        <v>374</v>
      </c>
      <c r="E497" s="10" t="s">
        <v>26</v>
      </c>
      <c r="F497" s="11">
        <f t="shared" si="99"/>
        <v>1515151.52</v>
      </c>
      <c r="G497" s="11">
        <f t="shared" si="99"/>
        <v>1515151.52</v>
      </c>
      <c r="H497" s="71">
        <f t="shared" si="91"/>
        <v>100</v>
      </c>
    </row>
    <row r="498" spans="1:8" ht="31.5" outlineLevel="5">
      <c r="A498" s="9" t="s">
        <v>27</v>
      </c>
      <c r="B498" s="10" t="s">
        <v>318</v>
      </c>
      <c r="C498" s="10" t="s">
        <v>10</v>
      </c>
      <c r="D498" s="10" t="s">
        <v>374</v>
      </c>
      <c r="E498" s="10" t="s">
        <v>28</v>
      </c>
      <c r="F498" s="11">
        <f>15151.52+1500000</f>
        <v>1515151.52</v>
      </c>
      <c r="G498" s="11">
        <f>15151.52+1500000</f>
        <v>1515151.52</v>
      </c>
      <c r="H498" s="71">
        <f t="shared" si="91"/>
        <v>100</v>
      </c>
    </row>
    <row r="499" spans="1:8" ht="66.75" customHeight="1" outlineLevel="5">
      <c r="A499" s="9" t="s">
        <v>375</v>
      </c>
      <c r="B499" s="10" t="s">
        <v>318</v>
      </c>
      <c r="C499" s="10" t="s">
        <v>10</v>
      </c>
      <c r="D499" s="10" t="s">
        <v>376</v>
      </c>
      <c r="E499" s="10" t="s">
        <v>8</v>
      </c>
      <c r="F499" s="11">
        <f>F500+F502</f>
        <v>2855942.4000000004</v>
      </c>
      <c r="G499" s="11">
        <f>G500+G502</f>
        <v>2855942.4000000004</v>
      </c>
      <c r="H499" s="71">
        <f t="shared" si="91"/>
        <v>100</v>
      </c>
    </row>
    <row r="500" spans="1:8" ht="63" outlineLevel="5">
      <c r="A500" s="9" t="s">
        <v>17</v>
      </c>
      <c r="B500" s="10" t="s">
        <v>318</v>
      </c>
      <c r="C500" s="10" t="s">
        <v>10</v>
      </c>
      <c r="D500" s="10" t="s">
        <v>376</v>
      </c>
      <c r="E500" s="10" t="s">
        <v>18</v>
      </c>
      <c r="F500" s="11">
        <f>F501</f>
        <v>388586.51000000024</v>
      </c>
      <c r="G500" s="11">
        <f>G501</f>
        <v>388586.51000000024</v>
      </c>
      <c r="H500" s="71">
        <f t="shared" si="91"/>
        <v>100</v>
      </c>
    </row>
    <row r="501" spans="1:8" outlineLevel="5">
      <c r="A501" s="9" t="s">
        <v>78</v>
      </c>
      <c r="B501" s="10" t="s">
        <v>318</v>
      </c>
      <c r="C501" s="10" t="s">
        <v>10</v>
      </c>
      <c r="D501" s="10" t="s">
        <v>376</v>
      </c>
      <c r="E501" s="10" t="s">
        <v>79</v>
      </c>
      <c r="F501" s="11">
        <f>3382856.64-2994270.13</f>
        <v>388586.51000000024</v>
      </c>
      <c r="G501" s="11">
        <f>3382856.64-2994270.13</f>
        <v>388586.51000000024</v>
      </c>
      <c r="H501" s="71">
        <f t="shared" si="91"/>
        <v>100</v>
      </c>
    </row>
    <row r="502" spans="1:8" ht="31.5" outlineLevel="5">
      <c r="A502" s="9" t="s">
        <v>327</v>
      </c>
      <c r="B502" s="10" t="s">
        <v>318</v>
      </c>
      <c r="C502" s="10" t="s">
        <v>10</v>
      </c>
      <c r="D502" s="10" t="s">
        <v>376</v>
      </c>
      <c r="E502" s="10" t="s">
        <v>328</v>
      </c>
      <c r="F502" s="11">
        <f>F503</f>
        <v>2467355.89</v>
      </c>
      <c r="G502" s="11">
        <f>G503</f>
        <v>2467355.89</v>
      </c>
      <c r="H502" s="71">
        <f t="shared" si="91"/>
        <v>100</v>
      </c>
    </row>
    <row r="503" spans="1:8" outlineLevel="5">
      <c r="A503" s="9" t="s">
        <v>329</v>
      </c>
      <c r="B503" s="10" t="s">
        <v>318</v>
      </c>
      <c r="C503" s="10" t="s">
        <v>10</v>
      </c>
      <c r="D503" s="10" t="s">
        <v>376</v>
      </c>
      <c r="E503" s="10" t="s">
        <v>330</v>
      </c>
      <c r="F503" s="11">
        <f>2994270.13-348417.84-178496.4</f>
        <v>2467355.89</v>
      </c>
      <c r="G503" s="11">
        <f>2994270.13-348417.84-178496.4</f>
        <v>2467355.89</v>
      </c>
      <c r="H503" s="71">
        <f t="shared" si="91"/>
        <v>100</v>
      </c>
    </row>
    <row r="504" spans="1:8" ht="47.25" outlineLevel="5">
      <c r="A504" s="47" t="s">
        <v>377</v>
      </c>
      <c r="B504" s="10" t="s">
        <v>318</v>
      </c>
      <c r="C504" s="10" t="s">
        <v>10</v>
      </c>
      <c r="D504" s="10" t="s">
        <v>378</v>
      </c>
      <c r="E504" s="10" t="s">
        <v>8</v>
      </c>
      <c r="F504" s="11">
        <f>F505</f>
        <v>555840</v>
      </c>
      <c r="G504" s="11">
        <f>G505</f>
        <v>555840</v>
      </c>
      <c r="H504" s="71">
        <f t="shared" si="91"/>
        <v>100</v>
      </c>
    </row>
    <row r="505" spans="1:8" ht="47.25" outlineLevel="5">
      <c r="A505" s="9" t="s">
        <v>366</v>
      </c>
      <c r="B505" s="10" t="s">
        <v>318</v>
      </c>
      <c r="C505" s="10" t="s">
        <v>10</v>
      </c>
      <c r="D505" s="10" t="s">
        <v>379</v>
      </c>
      <c r="E505" s="10" t="s">
        <v>8</v>
      </c>
      <c r="F505" s="11">
        <f t="shared" ref="F505:G506" si="100">F506</f>
        <v>555840</v>
      </c>
      <c r="G505" s="11">
        <f t="shared" si="100"/>
        <v>555840</v>
      </c>
      <c r="H505" s="71">
        <f t="shared" si="91"/>
        <v>100</v>
      </c>
    </row>
    <row r="506" spans="1:8" ht="31.5" outlineLevel="5">
      <c r="A506" s="9" t="s">
        <v>25</v>
      </c>
      <c r="B506" s="10" t="s">
        <v>318</v>
      </c>
      <c r="C506" s="10" t="s">
        <v>10</v>
      </c>
      <c r="D506" s="10" t="s">
        <v>379</v>
      </c>
      <c r="E506" s="10" t="s">
        <v>26</v>
      </c>
      <c r="F506" s="11">
        <f t="shared" si="100"/>
        <v>555840</v>
      </c>
      <c r="G506" s="11">
        <f t="shared" si="100"/>
        <v>555840</v>
      </c>
      <c r="H506" s="71">
        <f t="shared" si="91"/>
        <v>100</v>
      </c>
    </row>
    <row r="507" spans="1:8" ht="31.5" outlineLevel="5">
      <c r="A507" s="9" t="s">
        <v>27</v>
      </c>
      <c r="B507" s="10" t="s">
        <v>318</v>
      </c>
      <c r="C507" s="10" t="s">
        <v>10</v>
      </c>
      <c r="D507" s="10" t="s">
        <v>379</v>
      </c>
      <c r="E507" s="10" t="s">
        <v>28</v>
      </c>
      <c r="F507" s="11">
        <v>555840</v>
      </c>
      <c r="G507" s="11">
        <v>555840</v>
      </c>
      <c r="H507" s="71">
        <f t="shared" si="91"/>
        <v>100</v>
      </c>
    </row>
    <row r="508" spans="1:8" ht="47.25" outlineLevel="5">
      <c r="A508" s="9" t="s">
        <v>335</v>
      </c>
      <c r="B508" s="10" t="s">
        <v>318</v>
      </c>
      <c r="C508" s="10" t="s">
        <v>10</v>
      </c>
      <c r="D508" s="10" t="s">
        <v>336</v>
      </c>
      <c r="E508" s="10" t="s">
        <v>8</v>
      </c>
      <c r="F508" s="11">
        <f>F509</f>
        <v>3494261.62</v>
      </c>
      <c r="G508" s="11">
        <f>G509</f>
        <v>3394261.62</v>
      </c>
      <c r="H508" s="71">
        <f t="shared" ref="H508:H571" si="101">G508/F508*100</f>
        <v>97.138165058173286</v>
      </c>
    </row>
    <row r="509" spans="1:8" ht="31.5" outlineLevel="5">
      <c r="A509" s="9" t="s">
        <v>337</v>
      </c>
      <c r="B509" s="10" t="s">
        <v>318</v>
      </c>
      <c r="C509" s="10" t="s">
        <v>10</v>
      </c>
      <c r="D509" s="10" t="s">
        <v>338</v>
      </c>
      <c r="E509" s="10" t="s">
        <v>8</v>
      </c>
      <c r="F509" s="11">
        <f>F510+F515</f>
        <v>3494261.62</v>
      </c>
      <c r="G509" s="11">
        <f>G510+G515</f>
        <v>3394261.62</v>
      </c>
      <c r="H509" s="71">
        <f t="shared" si="101"/>
        <v>97.138165058173286</v>
      </c>
    </row>
    <row r="510" spans="1:8" ht="31.5" outlineLevel="5">
      <c r="A510" s="9" t="s">
        <v>339</v>
      </c>
      <c r="B510" s="10" t="s">
        <v>318</v>
      </c>
      <c r="C510" s="10" t="s">
        <v>10</v>
      </c>
      <c r="D510" s="10" t="s">
        <v>340</v>
      </c>
      <c r="E510" s="10" t="s">
        <v>8</v>
      </c>
      <c r="F510" s="11">
        <f>F511+F513</f>
        <v>3394261.62</v>
      </c>
      <c r="G510" s="11">
        <f>G511+G513</f>
        <v>3394261.62</v>
      </c>
      <c r="H510" s="71">
        <f t="shared" si="101"/>
        <v>100</v>
      </c>
    </row>
    <row r="511" spans="1:8" ht="31.5" outlineLevel="5">
      <c r="A511" s="9" t="s">
        <v>25</v>
      </c>
      <c r="B511" s="10" t="s">
        <v>318</v>
      </c>
      <c r="C511" s="10" t="s">
        <v>10</v>
      </c>
      <c r="D511" s="10" t="s">
        <v>340</v>
      </c>
      <c r="E511" s="10" t="s">
        <v>26</v>
      </c>
      <c r="F511" s="11">
        <f>F512</f>
        <v>391060.59000000008</v>
      </c>
      <c r="G511" s="11">
        <f>G512</f>
        <v>391060.59000000008</v>
      </c>
      <c r="H511" s="71">
        <f t="shared" si="101"/>
        <v>100</v>
      </c>
    </row>
    <row r="512" spans="1:8" ht="31.5" outlineLevel="5">
      <c r="A512" s="9" t="s">
        <v>27</v>
      </c>
      <c r="B512" s="10" t="s">
        <v>318</v>
      </c>
      <c r="C512" s="10" t="s">
        <v>10</v>
      </c>
      <c r="D512" s="10" t="s">
        <v>340</v>
      </c>
      <c r="E512" s="10" t="s">
        <v>28</v>
      </c>
      <c r="F512" s="11">
        <f>1000000+104671.62-150000-563611.03</f>
        <v>391060.59000000008</v>
      </c>
      <c r="G512" s="11">
        <f>1000000+104671.62-150000-563611.03</f>
        <v>391060.59000000008</v>
      </c>
      <c r="H512" s="71">
        <f t="shared" si="101"/>
        <v>100</v>
      </c>
    </row>
    <row r="513" spans="1:8" ht="31.5" outlineLevel="5">
      <c r="A513" s="9" t="s">
        <v>327</v>
      </c>
      <c r="B513" s="10" t="s">
        <v>318</v>
      </c>
      <c r="C513" s="10" t="s">
        <v>10</v>
      </c>
      <c r="D513" s="10" t="s">
        <v>340</v>
      </c>
      <c r="E513" s="10" t="s">
        <v>328</v>
      </c>
      <c r="F513" s="11">
        <f>F514</f>
        <v>3003201.0300000003</v>
      </c>
      <c r="G513" s="11">
        <f>G514</f>
        <v>3003201.0300000003</v>
      </c>
      <c r="H513" s="71">
        <f t="shared" si="101"/>
        <v>100</v>
      </c>
    </row>
    <row r="514" spans="1:8" outlineLevel="5">
      <c r="A514" s="12" t="s">
        <v>329</v>
      </c>
      <c r="B514" s="13" t="s">
        <v>318</v>
      </c>
      <c r="C514" s="13" t="s">
        <v>10</v>
      </c>
      <c r="D514" s="13" t="s">
        <v>340</v>
      </c>
      <c r="E514" s="13" t="s">
        <v>330</v>
      </c>
      <c r="F514" s="14">
        <f>563611.03+3556800-1117210</f>
        <v>3003201.0300000003</v>
      </c>
      <c r="G514" s="14">
        <f>563611.03+3556800-1117210</f>
        <v>3003201.0300000003</v>
      </c>
      <c r="H514" s="71">
        <f t="shared" si="101"/>
        <v>100</v>
      </c>
    </row>
    <row r="515" spans="1:8" ht="31.5" outlineLevel="5">
      <c r="A515" s="9" t="s">
        <v>380</v>
      </c>
      <c r="B515" s="10" t="s">
        <v>318</v>
      </c>
      <c r="C515" s="10" t="s">
        <v>10</v>
      </c>
      <c r="D515" s="10" t="s">
        <v>381</v>
      </c>
      <c r="E515" s="10" t="s">
        <v>8</v>
      </c>
      <c r="F515" s="11">
        <f t="shared" ref="F515:G516" si="102">F516</f>
        <v>100000</v>
      </c>
      <c r="G515" s="11">
        <f t="shared" si="102"/>
        <v>0</v>
      </c>
      <c r="H515" s="71">
        <f t="shared" si="101"/>
        <v>0</v>
      </c>
    </row>
    <row r="516" spans="1:8" ht="31.5" outlineLevel="5">
      <c r="A516" s="9" t="s">
        <v>25</v>
      </c>
      <c r="B516" s="10" t="s">
        <v>318</v>
      </c>
      <c r="C516" s="10" t="s">
        <v>10</v>
      </c>
      <c r="D516" s="10" t="s">
        <v>381</v>
      </c>
      <c r="E516" s="10" t="s">
        <v>26</v>
      </c>
      <c r="F516" s="11">
        <f t="shared" si="102"/>
        <v>100000</v>
      </c>
      <c r="G516" s="11">
        <f t="shared" si="102"/>
        <v>0</v>
      </c>
      <c r="H516" s="71">
        <f t="shared" si="101"/>
        <v>0</v>
      </c>
    </row>
    <row r="517" spans="1:8" ht="31.5" outlineLevel="5">
      <c r="A517" s="9" t="s">
        <v>27</v>
      </c>
      <c r="B517" s="10" t="s">
        <v>318</v>
      </c>
      <c r="C517" s="10" t="s">
        <v>10</v>
      </c>
      <c r="D517" s="10" t="s">
        <v>381</v>
      </c>
      <c r="E517" s="10" t="s">
        <v>28</v>
      </c>
      <c r="F517" s="11">
        <v>100000</v>
      </c>
      <c r="G517" s="11">
        <v>0</v>
      </c>
      <c r="H517" s="71">
        <f t="shared" si="101"/>
        <v>0</v>
      </c>
    </row>
    <row r="518" spans="1:8" ht="47.25" outlineLevel="5">
      <c r="A518" s="9" t="s">
        <v>110</v>
      </c>
      <c r="B518" s="10" t="s">
        <v>318</v>
      </c>
      <c r="C518" s="10" t="s">
        <v>10</v>
      </c>
      <c r="D518" s="10" t="s">
        <v>111</v>
      </c>
      <c r="E518" s="10" t="s">
        <v>8</v>
      </c>
      <c r="F518" s="11">
        <f t="shared" ref="F518:G521" si="103">F519</f>
        <v>86923.93</v>
      </c>
      <c r="G518" s="11">
        <f t="shared" si="103"/>
        <v>86923.93</v>
      </c>
      <c r="H518" s="71">
        <f t="shared" si="101"/>
        <v>100</v>
      </c>
    </row>
    <row r="519" spans="1:8" ht="47.25" outlineLevel="5">
      <c r="A519" s="9" t="s">
        <v>112</v>
      </c>
      <c r="B519" s="10" t="s">
        <v>318</v>
      </c>
      <c r="C519" s="10" t="s">
        <v>10</v>
      </c>
      <c r="D519" s="10" t="s">
        <v>113</v>
      </c>
      <c r="E519" s="10" t="s">
        <v>8</v>
      </c>
      <c r="F519" s="11">
        <f t="shared" si="103"/>
        <v>86923.93</v>
      </c>
      <c r="G519" s="11">
        <f t="shared" si="103"/>
        <v>86923.93</v>
      </c>
      <c r="H519" s="71">
        <f t="shared" si="101"/>
        <v>100</v>
      </c>
    </row>
    <row r="520" spans="1:8" ht="31.5" outlineLevel="5">
      <c r="A520" s="9" t="s">
        <v>114</v>
      </c>
      <c r="B520" s="10" t="s">
        <v>318</v>
      </c>
      <c r="C520" s="10" t="s">
        <v>10</v>
      </c>
      <c r="D520" s="10" t="s">
        <v>115</v>
      </c>
      <c r="E520" s="10" t="s">
        <v>8</v>
      </c>
      <c r="F520" s="11">
        <f t="shared" si="103"/>
        <v>86923.93</v>
      </c>
      <c r="G520" s="11">
        <f t="shared" si="103"/>
        <v>86923.93</v>
      </c>
      <c r="H520" s="71">
        <f t="shared" si="101"/>
        <v>100</v>
      </c>
    </row>
    <row r="521" spans="1:8" ht="31.5" outlineLevel="5">
      <c r="A521" s="9" t="s">
        <v>327</v>
      </c>
      <c r="B521" s="10" t="s">
        <v>318</v>
      </c>
      <c r="C521" s="10" t="s">
        <v>10</v>
      </c>
      <c r="D521" s="10" t="s">
        <v>115</v>
      </c>
      <c r="E521" s="10" t="s">
        <v>328</v>
      </c>
      <c r="F521" s="11">
        <f t="shared" si="103"/>
        <v>86923.93</v>
      </c>
      <c r="G521" s="11">
        <f t="shared" si="103"/>
        <v>86923.93</v>
      </c>
      <c r="H521" s="71">
        <f t="shared" si="101"/>
        <v>100</v>
      </c>
    </row>
    <row r="522" spans="1:8" outlineLevel="5">
      <c r="A522" s="9" t="s">
        <v>329</v>
      </c>
      <c r="B522" s="10" t="s">
        <v>318</v>
      </c>
      <c r="C522" s="10" t="s">
        <v>10</v>
      </c>
      <c r="D522" s="10" t="s">
        <v>115</v>
      </c>
      <c r="E522" s="10" t="s">
        <v>330</v>
      </c>
      <c r="F522" s="11">
        <f>107300-20400+23.93</f>
        <v>86923.93</v>
      </c>
      <c r="G522" s="11">
        <f>107300-20400+23.93</f>
        <v>86923.93</v>
      </c>
      <c r="H522" s="71">
        <f t="shared" si="101"/>
        <v>100</v>
      </c>
    </row>
    <row r="523" spans="1:8" ht="47.25" outlineLevel="5">
      <c r="A523" s="9" t="s">
        <v>341</v>
      </c>
      <c r="B523" s="10" t="s">
        <v>318</v>
      </c>
      <c r="C523" s="10" t="s">
        <v>10</v>
      </c>
      <c r="D523" s="10" t="s">
        <v>342</v>
      </c>
      <c r="E523" s="10" t="s">
        <v>8</v>
      </c>
      <c r="F523" s="11">
        <f t="shared" ref="F523:G526" si="104">F524</f>
        <v>1939884.95</v>
      </c>
      <c r="G523" s="11">
        <f t="shared" si="104"/>
        <v>1939884.95</v>
      </c>
      <c r="H523" s="71">
        <f t="shared" si="101"/>
        <v>100</v>
      </c>
    </row>
    <row r="524" spans="1:8" ht="47.25" outlineLevel="5">
      <c r="A524" s="9" t="s">
        <v>343</v>
      </c>
      <c r="B524" s="10" t="s">
        <v>318</v>
      </c>
      <c r="C524" s="10" t="s">
        <v>10</v>
      </c>
      <c r="D524" s="10" t="s">
        <v>344</v>
      </c>
      <c r="E524" s="10" t="s">
        <v>8</v>
      </c>
      <c r="F524" s="11">
        <f t="shared" si="104"/>
        <v>1939884.95</v>
      </c>
      <c r="G524" s="11">
        <f t="shared" si="104"/>
        <v>1939884.95</v>
      </c>
      <c r="H524" s="71">
        <f t="shared" si="101"/>
        <v>100</v>
      </c>
    </row>
    <row r="525" spans="1:8" outlineLevel="5">
      <c r="A525" s="9" t="s">
        <v>345</v>
      </c>
      <c r="B525" s="10" t="s">
        <v>318</v>
      </c>
      <c r="C525" s="10" t="s">
        <v>10</v>
      </c>
      <c r="D525" s="10" t="s">
        <v>346</v>
      </c>
      <c r="E525" s="10" t="s">
        <v>8</v>
      </c>
      <c r="F525" s="11">
        <f t="shared" si="104"/>
        <v>1939884.95</v>
      </c>
      <c r="G525" s="11">
        <f t="shared" si="104"/>
        <v>1939884.95</v>
      </c>
      <c r="H525" s="71">
        <f t="shared" si="101"/>
        <v>100</v>
      </c>
    </row>
    <row r="526" spans="1:8" ht="31.5" outlineLevel="5">
      <c r="A526" s="9" t="s">
        <v>327</v>
      </c>
      <c r="B526" s="10" t="s">
        <v>318</v>
      </c>
      <c r="C526" s="10" t="s">
        <v>10</v>
      </c>
      <c r="D526" s="10" t="s">
        <v>346</v>
      </c>
      <c r="E526" s="10" t="s">
        <v>328</v>
      </c>
      <c r="F526" s="11">
        <f t="shared" si="104"/>
        <v>1939884.95</v>
      </c>
      <c r="G526" s="11">
        <f t="shared" si="104"/>
        <v>1939884.95</v>
      </c>
      <c r="H526" s="71">
        <f t="shared" si="101"/>
        <v>100</v>
      </c>
    </row>
    <row r="527" spans="1:8" outlineLevel="5">
      <c r="A527" s="12" t="s">
        <v>329</v>
      </c>
      <c r="B527" s="13" t="s">
        <v>318</v>
      </c>
      <c r="C527" s="13" t="s">
        <v>10</v>
      </c>
      <c r="D527" s="13" t="s">
        <v>346</v>
      </c>
      <c r="E527" s="13" t="s">
        <v>330</v>
      </c>
      <c r="F527" s="14">
        <f>1891900+47984.95</f>
        <v>1939884.95</v>
      </c>
      <c r="G527" s="14">
        <f>1891900+47984.95</f>
        <v>1939884.95</v>
      </c>
      <c r="H527" s="71">
        <f t="shared" si="101"/>
        <v>100</v>
      </c>
    </row>
    <row r="528" spans="1:8" outlineLevel="5">
      <c r="A528" s="9" t="s">
        <v>382</v>
      </c>
      <c r="B528" s="10" t="s">
        <v>318</v>
      </c>
      <c r="C528" s="10" t="s">
        <v>22</v>
      </c>
      <c r="D528" s="10" t="s">
        <v>7</v>
      </c>
      <c r="E528" s="10" t="s">
        <v>8</v>
      </c>
      <c r="F528" s="11">
        <f>F529+F548+F554+F559</f>
        <v>77990702.670000002</v>
      </c>
      <c r="G528" s="11">
        <f>G529+G548+G554+G559</f>
        <v>77910506.079999998</v>
      </c>
      <c r="H528" s="71">
        <f t="shared" si="101"/>
        <v>99.897171602185281</v>
      </c>
    </row>
    <row r="529" spans="1:8" ht="31.5" outlineLevel="5">
      <c r="A529" s="9" t="s">
        <v>320</v>
      </c>
      <c r="B529" s="10" t="s">
        <v>318</v>
      </c>
      <c r="C529" s="10" t="s">
        <v>22</v>
      </c>
      <c r="D529" s="10" t="s">
        <v>321</v>
      </c>
      <c r="E529" s="10" t="s">
        <v>8</v>
      </c>
      <c r="F529" s="11">
        <f>F530</f>
        <v>56078442.670000002</v>
      </c>
      <c r="G529" s="11">
        <f>G530</f>
        <v>55998246.079999998</v>
      </c>
      <c r="H529" s="71">
        <f t="shared" si="101"/>
        <v>99.85699212356532</v>
      </c>
    </row>
    <row r="530" spans="1:8" ht="31.5" outlineLevel="5">
      <c r="A530" s="9" t="s">
        <v>383</v>
      </c>
      <c r="B530" s="10" t="s">
        <v>318</v>
      </c>
      <c r="C530" s="10" t="s">
        <v>22</v>
      </c>
      <c r="D530" s="10" t="s">
        <v>384</v>
      </c>
      <c r="E530" s="10" t="s">
        <v>8</v>
      </c>
      <c r="F530" s="11">
        <f>F531+F542+F545</f>
        <v>56078442.670000002</v>
      </c>
      <c r="G530" s="11">
        <f>G531+G542+G545</f>
        <v>55998246.079999998</v>
      </c>
      <c r="H530" s="71">
        <f t="shared" si="101"/>
        <v>99.85699212356532</v>
      </c>
    </row>
    <row r="531" spans="1:8" ht="31.5" outlineLevel="5">
      <c r="A531" s="9" t="s">
        <v>100</v>
      </c>
      <c r="B531" s="10" t="s">
        <v>318</v>
      </c>
      <c r="C531" s="10" t="s">
        <v>22</v>
      </c>
      <c r="D531" s="10" t="s">
        <v>385</v>
      </c>
      <c r="E531" s="10" t="s">
        <v>8</v>
      </c>
      <c r="F531" s="11">
        <f>F532+F535</f>
        <v>51992600</v>
      </c>
      <c r="G531" s="11">
        <f>G532+G535</f>
        <v>51917811.629999995</v>
      </c>
      <c r="H531" s="71">
        <f t="shared" si="101"/>
        <v>99.856155741393962</v>
      </c>
    </row>
    <row r="532" spans="1:8" outlineLevel="5">
      <c r="A532" s="9" t="s">
        <v>386</v>
      </c>
      <c r="B532" s="10" t="s">
        <v>318</v>
      </c>
      <c r="C532" s="10" t="s">
        <v>22</v>
      </c>
      <c r="D532" s="10" t="s">
        <v>387</v>
      </c>
      <c r="E532" s="10" t="s">
        <v>8</v>
      </c>
      <c r="F532" s="11">
        <f t="shared" ref="F532:G533" si="105">F533</f>
        <v>30065520</v>
      </c>
      <c r="G532" s="11">
        <f t="shared" si="105"/>
        <v>30030561.84</v>
      </c>
      <c r="H532" s="71">
        <f t="shared" si="101"/>
        <v>99.883726740798096</v>
      </c>
    </row>
    <row r="533" spans="1:8" ht="31.5" outlineLevel="5">
      <c r="A533" s="9" t="s">
        <v>327</v>
      </c>
      <c r="B533" s="10" t="s">
        <v>318</v>
      </c>
      <c r="C533" s="10" t="s">
        <v>22</v>
      </c>
      <c r="D533" s="10" t="s">
        <v>387</v>
      </c>
      <c r="E533" s="10" t="s">
        <v>328</v>
      </c>
      <c r="F533" s="11">
        <f t="shared" si="105"/>
        <v>30065520</v>
      </c>
      <c r="G533" s="11">
        <f t="shared" si="105"/>
        <v>30030561.84</v>
      </c>
      <c r="H533" s="71">
        <f t="shared" si="101"/>
        <v>99.883726740798096</v>
      </c>
    </row>
    <row r="534" spans="1:8" outlineLevel="5">
      <c r="A534" s="12" t="s">
        <v>329</v>
      </c>
      <c r="B534" s="13" t="s">
        <v>318</v>
      </c>
      <c r="C534" s="13" t="s">
        <v>22</v>
      </c>
      <c r="D534" s="13" t="s">
        <v>387</v>
      </c>
      <c r="E534" s="13" t="s">
        <v>330</v>
      </c>
      <c r="F534" s="14">
        <f>26412130+1000000-146610+2800000</f>
        <v>30065520</v>
      </c>
      <c r="G534" s="72">
        <v>30030561.84</v>
      </c>
      <c r="H534" s="71">
        <f t="shared" si="101"/>
        <v>99.883726740798096</v>
      </c>
    </row>
    <row r="535" spans="1:8" outlineLevel="5">
      <c r="A535" s="9" t="s">
        <v>388</v>
      </c>
      <c r="B535" s="10" t="s">
        <v>318</v>
      </c>
      <c r="C535" s="10" t="s">
        <v>22</v>
      </c>
      <c r="D535" s="10" t="s">
        <v>389</v>
      </c>
      <c r="E535" s="10" t="s">
        <v>8</v>
      </c>
      <c r="F535" s="11">
        <f>F536+F538+F540</f>
        <v>21927080</v>
      </c>
      <c r="G535" s="11">
        <f>G536+G538+G540</f>
        <v>21887249.789999999</v>
      </c>
      <c r="H535" s="71">
        <f t="shared" si="101"/>
        <v>99.818351508728014</v>
      </c>
    </row>
    <row r="536" spans="1:8" ht="63" outlineLevel="5">
      <c r="A536" s="9" t="s">
        <v>17</v>
      </c>
      <c r="B536" s="10" t="s">
        <v>318</v>
      </c>
      <c r="C536" s="10" t="s">
        <v>22</v>
      </c>
      <c r="D536" s="10" t="s">
        <v>389</v>
      </c>
      <c r="E536" s="10" t="s">
        <v>18</v>
      </c>
      <c r="F536" s="11">
        <f>F537</f>
        <v>18650830</v>
      </c>
      <c r="G536" s="11">
        <f>G537</f>
        <v>18612947.5</v>
      </c>
      <c r="H536" s="71">
        <f t="shared" si="101"/>
        <v>99.796885715005715</v>
      </c>
    </row>
    <row r="537" spans="1:8" outlineLevel="5">
      <c r="A537" s="9" t="s">
        <v>78</v>
      </c>
      <c r="B537" s="10" t="s">
        <v>318</v>
      </c>
      <c r="C537" s="10" t="s">
        <v>22</v>
      </c>
      <c r="D537" s="10" t="s">
        <v>389</v>
      </c>
      <c r="E537" s="10" t="s">
        <v>79</v>
      </c>
      <c r="F537" s="11">
        <v>18650830</v>
      </c>
      <c r="G537" s="72">
        <v>18612947.5</v>
      </c>
      <c r="H537" s="71">
        <f t="shared" si="101"/>
        <v>99.796885715005715</v>
      </c>
    </row>
    <row r="538" spans="1:8" ht="31.5" outlineLevel="5">
      <c r="A538" s="9" t="s">
        <v>25</v>
      </c>
      <c r="B538" s="10" t="s">
        <v>318</v>
      </c>
      <c r="C538" s="10" t="s">
        <v>22</v>
      </c>
      <c r="D538" s="10" t="s">
        <v>389</v>
      </c>
      <c r="E538" s="10" t="s">
        <v>26</v>
      </c>
      <c r="F538" s="11">
        <f>F539</f>
        <v>2439300</v>
      </c>
      <c r="G538" s="11">
        <f>G539</f>
        <v>2439031.29</v>
      </c>
      <c r="H538" s="71">
        <f t="shared" si="101"/>
        <v>99.988984134792773</v>
      </c>
    </row>
    <row r="539" spans="1:8" ht="31.5" outlineLevel="5">
      <c r="A539" s="9" t="s">
        <v>27</v>
      </c>
      <c r="B539" s="10" t="s">
        <v>318</v>
      </c>
      <c r="C539" s="10" t="s">
        <v>22</v>
      </c>
      <c r="D539" s="10" t="s">
        <v>389</v>
      </c>
      <c r="E539" s="10" t="s">
        <v>28</v>
      </c>
      <c r="F539" s="11">
        <f>1404300+1035000</f>
        <v>2439300</v>
      </c>
      <c r="G539" s="72">
        <v>2439031.29</v>
      </c>
      <c r="H539" s="71">
        <f t="shared" si="101"/>
        <v>99.988984134792773</v>
      </c>
    </row>
    <row r="540" spans="1:8" outlineLevel="5">
      <c r="A540" s="9" t="s">
        <v>35</v>
      </c>
      <c r="B540" s="10" t="s">
        <v>318</v>
      </c>
      <c r="C540" s="10" t="s">
        <v>22</v>
      </c>
      <c r="D540" s="10" t="s">
        <v>389</v>
      </c>
      <c r="E540" s="10" t="s">
        <v>36</v>
      </c>
      <c r="F540" s="11">
        <f>F541</f>
        <v>836950</v>
      </c>
      <c r="G540" s="11">
        <f>G541</f>
        <v>835271</v>
      </c>
      <c r="H540" s="71">
        <f t="shared" si="101"/>
        <v>99.799390644602425</v>
      </c>
    </row>
    <row r="541" spans="1:8" outlineLevel="5">
      <c r="A541" s="12" t="s">
        <v>37</v>
      </c>
      <c r="B541" s="13" t="s">
        <v>318</v>
      </c>
      <c r="C541" s="13" t="s">
        <v>22</v>
      </c>
      <c r="D541" s="13" t="s">
        <v>389</v>
      </c>
      <c r="E541" s="13" t="s">
        <v>38</v>
      </c>
      <c r="F541" s="14">
        <f>771230+65720</f>
        <v>836950</v>
      </c>
      <c r="G541" s="72">
        <v>835271</v>
      </c>
      <c r="H541" s="71">
        <f t="shared" si="101"/>
        <v>99.799390644602425</v>
      </c>
    </row>
    <row r="542" spans="1:8" ht="16.5" outlineLevel="5">
      <c r="A542" s="46" t="s">
        <v>390</v>
      </c>
      <c r="B542" s="10" t="s">
        <v>318</v>
      </c>
      <c r="C542" s="10" t="s">
        <v>22</v>
      </c>
      <c r="D542" s="10" t="s">
        <v>391</v>
      </c>
      <c r="E542" s="10" t="s">
        <v>8</v>
      </c>
      <c r="F542" s="11">
        <f t="shared" ref="F542:G543" si="106">F543</f>
        <v>1242142.67</v>
      </c>
      <c r="G542" s="11">
        <f t="shared" si="106"/>
        <v>1242142.67</v>
      </c>
      <c r="H542" s="71">
        <f t="shared" si="101"/>
        <v>100</v>
      </c>
    </row>
    <row r="543" spans="1:8" ht="31.5" outlineLevel="5">
      <c r="A543" s="9" t="s">
        <v>25</v>
      </c>
      <c r="B543" s="10" t="s">
        <v>318</v>
      </c>
      <c r="C543" s="10" t="s">
        <v>22</v>
      </c>
      <c r="D543" s="10" t="s">
        <v>391</v>
      </c>
      <c r="E543" s="10" t="s">
        <v>26</v>
      </c>
      <c r="F543" s="11">
        <f t="shared" si="106"/>
        <v>1242142.67</v>
      </c>
      <c r="G543" s="11">
        <f t="shared" si="106"/>
        <v>1242142.67</v>
      </c>
      <c r="H543" s="71">
        <f t="shared" si="101"/>
        <v>100</v>
      </c>
    </row>
    <row r="544" spans="1:8" ht="31.5" outlineLevel="5">
      <c r="A544" s="9" t="s">
        <v>27</v>
      </c>
      <c r="B544" s="10" t="s">
        <v>318</v>
      </c>
      <c r="C544" s="10" t="s">
        <v>22</v>
      </c>
      <c r="D544" s="10" t="s">
        <v>391</v>
      </c>
      <c r="E544" s="10" t="s">
        <v>28</v>
      </c>
      <c r="F544" s="11">
        <v>1242142.67</v>
      </c>
      <c r="G544" s="11">
        <v>1242142.67</v>
      </c>
      <c r="H544" s="71">
        <f t="shared" si="101"/>
        <v>100</v>
      </c>
    </row>
    <row r="545" spans="1:8" ht="31.5" outlineLevel="5">
      <c r="A545" s="9" t="s">
        <v>392</v>
      </c>
      <c r="B545" s="10" t="s">
        <v>318</v>
      </c>
      <c r="C545" s="10" t="s">
        <v>22</v>
      </c>
      <c r="D545" s="10" t="s">
        <v>393</v>
      </c>
      <c r="E545" s="10" t="s">
        <v>8</v>
      </c>
      <c r="F545" s="11">
        <f t="shared" ref="F545:G546" si="107">F546</f>
        <v>2843700</v>
      </c>
      <c r="G545" s="11">
        <f t="shared" si="107"/>
        <v>2838291.78</v>
      </c>
      <c r="H545" s="71">
        <f t="shared" si="101"/>
        <v>99.809817491296542</v>
      </c>
    </row>
    <row r="546" spans="1:8" ht="31.5" outlineLevel="5">
      <c r="A546" s="9" t="s">
        <v>327</v>
      </c>
      <c r="B546" s="10" t="s">
        <v>318</v>
      </c>
      <c r="C546" s="10" t="s">
        <v>22</v>
      </c>
      <c r="D546" s="10" t="s">
        <v>393</v>
      </c>
      <c r="E546" s="10" t="s">
        <v>328</v>
      </c>
      <c r="F546" s="11">
        <f t="shared" si="107"/>
        <v>2843700</v>
      </c>
      <c r="G546" s="11">
        <f t="shared" si="107"/>
        <v>2838291.78</v>
      </c>
      <c r="H546" s="71">
        <f t="shared" si="101"/>
        <v>99.809817491296542</v>
      </c>
    </row>
    <row r="547" spans="1:8" outlineLevel="5">
      <c r="A547" s="12" t="s">
        <v>329</v>
      </c>
      <c r="B547" s="13" t="s">
        <v>318</v>
      </c>
      <c r="C547" s="13" t="s">
        <v>22</v>
      </c>
      <c r="D547" s="13" t="s">
        <v>393</v>
      </c>
      <c r="E547" s="13" t="s">
        <v>330</v>
      </c>
      <c r="F547" s="14">
        <f>2543700+300000</f>
        <v>2843700</v>
      </c>
      <c r="G547" s="72">
        <v>2838291.78</v>
      </c>
      <c r="H547" s="71">
        <f t="shared" si="101"/>
        <v>99.809817491296542</v>
      </c>
    </row>
    <row r="548" spans="1:8" ht="31.5" outlineLevel="5">
      <c r="A548" s="9" t="s">
        <v>281</v>
      </c>
      <c r="B548" s="10" t="s">
        <v>318</v>
      </c>
      <c r="C548" s="10" t="s">
        <v>22</v>
      </c>
      <c r="D548" s="10" t="s">
        <v>282</v>
      </c>
      <c r="E548" s="10" t="s">
        <v>8</v>
      </c>
      <c r="F548" s="11">
        <f t="shared" ref="F548:G552" si="108">F549</f>
        <v>21849170</v>
      </c>
      <c r="G548" s="11">
        <f t="shared" si="108"/>
        <v>21849170</v>
      </c>
      <c r="H548" s="71">
        <f t="shared" si="101"/>
        <v>100</v>
      </c>
    </row>
    <row r="549" spans="1:8" ht="47.25" outlineLevel="5">
      <c r="A549" s="9" t="s">
        <v>394</v>
      </c>
      <c r="B549" s="10" t="s">
        <v>318</v>
      </c>
      <c r="C549" s="10" t="s">
        <v>22</v>
      </c>
      <c r="D549" s="10" t="s">
        <v>395</v>
      </c>
      <c r="E549" s="10" t="s">
        <v>8</v>
      </c>
      <c r="F549" s="11">
        <f t="shared" si="108"/>
        <v>21849170</v>
      </c>
      <c r="G549" s="11">
        <f t="shared" si="108"/>
        <v>21849170</v>
      </c>
      <c r="H549" s="71">
        <f t="shared" si="101"/>
        <v>100</v>
      </c>
    </row>
    <row r="550" spans="1:8" ht="31.5" outlineLevel="5">
      <c r="A550" s="9" t="s">
        <v>100</v>
      </c>
      <c r="B550" s="10" t="s">
        <v>318</v>
      </c>
      <c r="C550" s="10" t="s">
        <v>22</v>
      </c>
      <c r="D550" s="10" t="s">
        <v>396</v>
      </c>
      <c r="E550" s="10" t="s">
        <v>8</v>
      </c>
      <c r="F550" s="11">
        <f t="shared" si="108"/>
        <v>21849170</v>
      </c>
      <c r="G550" s="11">
        <f t="shared" si="108"/>
        <v>21849170</v>
      </c>
      <c r="H550" s="71">
        <f t="shared" si="101"/>
        <v>100</v>
      </c>
    </row>
    <row r="551" spans="1:8" outlineLevel="5">
      <c r="A551" s="9" t="s">
        <v>397</v>
      </c>
      <c r="B551" s="10" t="s">
        <v>318</v>
      </c>
      <c r="C551" s="10" t="s">
        <v>22</v>
      </c>
      <c r="D551" s="10" t="s">
        <v>398</v>
      </c>
      <c r="E551" s="10" t="s">
        <v>8</v>
      </c>
      <c r="F551" s="11">
        <f t="shared" si="108"/>
        <v>21849170</v>
      </c>
      <c r="G551" s="11">
        <f t="shared" si="108"/>
        <v>21849170</v>
      </c>
      <c r="H551" s="71">
        <f t="shared" si="101"/>
        <v>100</v>
      </c>
    </row>
    <row r="552" spans="1:8" ht="31.5" outlineLevel="5">
      <c r="A552" s="9" t="s">
        <v>327</v>
      </c>
      <c r="B552" s="10" t="s">
        <v>318</v>
      </c>
      <c r="C552" s="10" t="s">
        <v>22</v>
      </c>
      <c r="D552" s="10" t="s">
        <v>398</v>
      </c>
      <c r="E552" s="10" t="s">
        <v>328</v>
      </c>
      <c r="F552" s="11">
        <f t="shared" si="108"/>
        <v>21849170</v>
      </c>
      <c r="G552" s="11">
        <f t="shared" si="108"/>
        <v>21849170</v>
      </c>
      <c r="H552" s="71">
        <f t="shared" si="101"/>
        <v>100</v>
      </c>
    </row>
    <row r="553" spans="1:8" outlineLevel="5">
      <c r="A553" s="12" t="s">
        <v>329</v>
      </c>
      <c r="B553" s="13" t="s">
        <v>318</v>
      </c>
      <c r="C553" s="13" t="s">
        <v>22</v>
      </c>
      <c r="D553" s="13" t="s">
        <v>398</v>
      </c>
      <c r="E553" s="13" t="s">
        <v>330</v>
      </c>
      <c r="F553" s="14">
        <f>22817000-244960-722870</f>
        <v>21849170</v>
      </c>
      <c r="G553" s="14">
        <f>22817000-244960-722870</f>
        <v>21849170</v>
      </c>
      <c r="H553" s="71">
        <f t="shared" si="101"/>
        <v>100</v>
      </c>
    </row>
    <row r="554" spans="1:8" ht="47.25" outlineLevel="5">
      <c r="A554" s="9" t="s">
        <v>110</v>
      </c>
      <c r="B554" s="10" t="s">
        <v>318</v>
      </c>
      <c r="C554" s="10" t="s">
        <v>22</v>
      </c>
      <c r="D554" s="10" t="s">
        <v>111</v>
      </c>
      <c r="E554" s="10" t="s">
        <v>8</v>
      </c>
      <c r="F554" s="11">
        <f t="shared" ref="F554:G557" si="109">F555</f>
        <v>20400</v>
      </c>
      <c r="G554" s="11">
        <f t="shared" si="109"/>
        <v>20400</v>
      </c>
      <c r="H554" s="71">
        <f t="shared" si="101"/>
        <v>100</v>
      </c>
    </row>
    <row r="555" spans="1:8" ht="47.25" outlineLevel="5">
      <c r="A555" s="9" t="s">
        <v>112</v>
      </c>
      <c r="B555" s="10" t="s">
        <v>318</v>
      </c>
      <c r="C555" s="10" t="s">
        <v>22</v>
      </c>
      <c r="D555" s="10" t="s">
        <v>113</v>
      </c>
      <c r="E555" s="10" t="s">
        <v>8</v>
      </c>
      <c r="F555" s="11">
        <f t="shared" si="109"/>
        <v>20400</v>
      </c>
      <c r="G555" s="11">
        <f t="shared" si="109"/>
        <v>20400</v>
      </c>
      <c r="H555" s="71">
        <f t="shared" si="101"/>
        <v>100</v>
      </c>
    </row>
    <row r="556" spans="1:8" ht="31.5" outlineLevel="5">
      <c r="A556" s="9" t="s">
        <v>114</v>
      </c>
      <c r="B556" s="10" t="s">
        <v>318</v>
      </c>
      <c r="C556" s="10" t="s">
        <v>22</v>
      </c>
      <c r="D556" s="10" t="s">
        <v>115</v>
      </c>
      <c r="E556" s="10" t="s">
        <v>8</v>
      </c>
      <c r="F556" s="11">
        <f t="shared" si="109"/>
        <v>20400</v>
      </c>
      <c r="G556" s="11">
        <f t="shared" si="109"/>
        <v>20400</v>
      </c>
      <c r="H556" s="71">
        <f t="shared" si="101"/>
        <v>100</v>
      </c>
    </row>
    <row r="557" spans="1:8" ht="31.5" outlineLevel="5">
      <c r="A557" s="9" t="s">
        <v>327</v>
      </c>
      <c r="B557" s="10" t="s">
        <v>318</v>
      </c>
      <c r="C557" s="10" t="s">
        <v>22</v>
      </c>
      <c r="D557" s="10" t="s">
        <v>115</v>
      </c>
      <c r="E557" s="10" t="s">
        <v>328</v>
      </c>
      <c r="F557" s="11">
        <f t="shared" si="109"/>
        <v>20400</v>
      </c>
      <c r="G557" s="11">
        <f t="shared" si="109"/>
        <v>20400</v>
      </c>
      <c r="H557" s="71">
        <f t="shared" si="101"/>
        <v>100</v>
      </c>
    </row>
    <row r="558" spans="1:8" outlineLevel="5">
      <c r="A558" s="9" t="s">
        <v>329</v>
      </c>
      <c r="B558" s="10" t="s">
        <v>318</v>
      </c>
      <c r="C558" s="10" t="s">
        <v>22</v>
      </c>
      <c r="D558" s="10" t="s">
        <v>115</v>
      </c>
      <c r="E558" s="10" t="s">
        <v>330</v>
      </c>
      <c r="F558" s="11">
        <v>20400</v>
      </c>
      <c r="G558" s="11">
        <v>20400</v>
      </c>
      <c r="H558" s="71">
        <f t="shared" si="101"/>
        <v>100</v>
      </c>
    </row>
    <row r="559" spans="1:8" ht="47.25" outlineLevel="5">
      <c r="A559" s="9" t="s">
        <v>341</v>
      </c>
      <c r="B559" s="10" t="s">
        <v>318</v>
      </c>
      <c r="C559" s="10" t="s">
        <v>22</v>
      </c>
      <c r="D559" s="10" t="s">
        <v>342</v>
      </c>
      <c r="E559" s="10" t="s">
        <v>8</v>
      </c>
      <c r="F559" s="11">
        <f t="shared" ref="F559:G560" si="110">F560</f>
        <v>42690</v>
      </c>
      <c r="G559" s="11">
        <f t="shared" si="110"/>
        <v>42690</v>
      </c>
      <c r="H559" s="71">
        <f t="shared" si="101"/>
        <v>100</v>
      </c>
    </row>
    <row r="560" spans="1:8" ht="47.25" outlineLevel="5">
      <c r="A560" s="9" t="s">
        <v>343</v>
      </c>
      <c r="B560" s="10" t="s">
        <v>318</v>
      </c>
      <c r="C560" s="10" t="s">
        <v>22</v>
      </c>
      <c r="D560" s="10" t="s">
        <v>344</v>
      </c>
      <c r="E560" s="10" t="s">
        <v>8</v>
      </c>
      <c r="F560" s="11">
        <f t="shared" si="110"/>
        <v>42690</v>
      </c>
      <c r="G560" s="11">
        <f t="shared" si="110"/>
        <v>42690</v>
      </c>
      <c r="H560" s="71">
        <f t="shared" si="101"/>
        <v>100</v>
      </c>
    </row>
    <row r="561" spans="1:8" outlineLevel="5">
      <c r="A561" s="9" t="s">
        <v>345</v>
      </c>
      <c r="B561" s="10" t="s">
        <v>318</v>
      </c>
      <c r="C561" s="10" t="s">
        <v>22</v>
      </c>
      <c r="D561" s="10" t="s">
        <v>346</v>
      </c>
      <c r="E561" s="10" t="s">
        <v>8</v>
      </c>
      <c r="F561" s="11">
        <f>F562+F564</f>
        <v>42690</v>
      </c>
      <c r="G561" s="11">
        <f>G562+G564</f>
        <v>42690</v>
      </c>
      <c r="H561" s="71">
        <f t="shared" si="101"/>
        <v>100</v>
      </c>
    </row>
    <row r="562" spans="1:8" ht="31.5" outlineLevel="5">
      <c r="A562" s="9" t="s">
        <v>25</v>
      </c>
      <c r="B562" s="10" t="s">
        <v>318</v>
      </c>
      <c r="C562" s="10" t="s">
        <v>22</v>
      </c>
      <c r="D562" s="10" t="s">
        <v>346</v>
      </c>
      <c r="E562" s="10" t="s">
        <v>26</v>
      </c>
      <c r="F562" s="11">
        <f>F563</f>
        <v>24800</v>
      </c>
      <c r="G562" s="11">
        <f>G563</f>
        <v>24800</v>
      </c>
      <c r="H562" s="71">
        <f t="shared" si="101"/>
        <v>100</v>
      </c>
    </row>
    <row r="563" spans="1:8" ht="31.5" outlineLevel="5">
      <c r="A563" s="12" t="s">
        <v>27</v>
      </c>
      <c r="B563" s="13" t="s">
        <v>318</v>
      </c>
      <c r="C563" s="13" t="s">
        <v>22</v>
      </c>
      <c r="D563" s="13" t="s">
        <v>346</v>
      </c>
      <c r="E563" s="13" t="s">
        <v>28</v>
      </c>
      <c r="F563" s="14">
        <f>25000-200</f>
        <v>24800</v>
      </c>
      <c r="G563" s="14">
        <f>25000-200</f>
        <v>24800</v>
      </c>
      <c r="H563" s="71">
        <f t="shared" si="101"/>
        <v>100</v>
      </c>
    </row>
    <row r="564" spans="1:8" ht="31.5" outlineLevel="5">
      <c r="A564" s="9" t="s">
        <v>327</v>
      </c>
      <c r="B564" s="10" t="s">
        <v>318</v>
      </c>
      <c r="C564" s="10" t="s">
        <v>22</v>
      </c>
      <c r="D564" s="10" t="s">
        <v>346</v>
      </c>
      <c r="E564" s="10" t="s">
        <v>328</v>
      </c>
      <c r="F564" s="11">
        <f>F565</f>
        <v>17890</v>
      </c>
      <c r="G564" s="11">
        <f>G565</f>
        <v>17890</v>
      </c>
      <c r="H564" s="71">
        <f t="shared" si="101"/>
        <v>100</v>
      </c>
    </row>
    <row r="565" spans="1:8" outlineLevel="5">
      <c r="A565" s="12" t="s">
        <v>329</v>
      </c>
      <c r="B565" s="13" t="s">
        <v>318</v>
      </c>
      <c r="C565" s="13" t="s">
        <v>22</v>
      </c>
      <c r="D565" s="13" t="s">
        <v>346</v>
      </c>
      <c r="E565" s="13" t="s">
        <v>330</v>
      </c>
      <c r="F565" s="14">
        <f>25000-7110</f>
        <v>17890</v>
      </c>
      <c r="G565" s="14">
        <f>25000-7110</f>
        <v>17890</v>
      </c>
      <c r="H565" s="71">
        <f t="shared" si="101"/>
        <v>100</v>
      </c>
    </row>
    <row r="566" spans="1:8" outlineLevel="1">
      <c r="A566" s="9" t="s">
        <v>399</v>
      </c>
      <c r="B566" s="10" t="s">
        <v>318</v>
      </c>
      <c r="C566" s="10" t="s">
        <v>318</v>
      </c>
      <c r="D566" s="10" t="s">
        <v>7</v>
      </c>
      <c r="E566" s="10" t="s">
        <v>8</v>
      </c>
      <c r="F566" s="11">
        <f>F567+F574+F581+F586</f>
        <v>1138000</v>
      </c>
      <c r="G566" s="11">
        <f>G567+G574+G581+G586</f>
        <v>794810</v>
      </c>
      <c r="H566" s="71">
        <f t="shared" si="101"/>
        <v>69.842706502636204</v>
      </c>
    </row>
    <row r="567" spans="1:8" ht="47.25" outlineLevel="1">
      <c r="A567" s="9" t="s">
        <v>400</v>
      </c>
      <c r="B567" s="10" t="s">
        <v>318</v>
      </c>
      <c r="C567" s="10" t="s">
        <v>318</v>
      </c>
      <c r="D567" s="10" t="s">
        <v>401</v>
      </c>
      <c r="E567" s="10" t="s">
        <v>8</v>
      </c>
      <c r="F567" s="11">
        <f t="shared" ref="F567:G568" si="111">F568</f>
        <v>450000</v>
      </c>
      <c r="G567" s="11">
        <f t="shared" si="111"/>
        <v>286725</v>
      </c>
      <c r="H567" s="71">
        <f t="shared" si="101"/>
        <v>63.716666666666669</v>
      </c>
    </row>
    <row r="568" spans="1:8" ht="47.25" outlineLevel="1">
      <c r="A568" s="9" t="s">
        <v>402</v>
      </c>
      <c r="B568" s="10" t="s">
        <v>318</v>
      </c>
      <c r="C568" s="10" t="s">
        <v>318</v>
      </c>
      <c r="D568" s="10" t="s">
        <v>403</v>
      </c>
      <c r="E568" s="10" t="s">
        <v>8</v>
      </c>
      <c r="F568" s="11">
        <f t="shared" si="111"/>
        <v>450000</v>
      </c>
      <c r="G568" s="11">
        <f t="shared" si="111"/>
        <v>286725</v>
      </c>
      <c r="H568" s="71">
        <f t="shared" si="101"/>
        <v>63.716666666666669</v>
      </c>
    </row>
    <row r="569" spans="1:8" outlineLevel="3">
      <c r="A569" s="9" t="s">
        <v>404</v>
      </c>
      <c r="B569" s="10" t="s">
        <v>318</v>
      </c>
      <c r="C569" s="10" t="s">
        <v>318</v>
      </c>
      <c r="D569" s="10" t="s">
        <v>405</v>
      </c>
      <c r="E569" s="10" t="s">
        <v>8</v>
      </c>
      <c r="F569" s="11">
        <f>F570+F572</f>
        <v>450000</v>
      </c>
      <c r="G569" s="11">
        <f>G570+G572</f>
        <v>286725</v>
      </c>
      <c r="H569" s="71">
        <f t="shared" si="101"/>
        <v>63.716666666666669</v>
      </c>
    </row>
    <row r="570" spans="1:8" ht="31.5" outlineLevel="3">
      <c r="A570" s="9" t="s">
        <v>25</v>
      </c>
      <c r="B570" s="10" t="s">
        <v>318</v>
      </c>
      <c r="C570" s="10" t="s">
        <v>318</v>
      </c>
      <c r="D570" s="10" t="s">
        <v>405</v>
      </c>
      <c r="E570" s="10" t="s">
        <v>26</v>
      </c>
      <c r="F570" s="11">
        <f>F571</f>
        <v>400000</v>
      </c>
      <c r="G570" s="11">
        <f>G571</f>
        <v>236725</v>
      </c>
      <c r="H570" s="71">
        <f t="shared" si="101"/>
        <v>59.181249999999999</v>
      </c>
    </row>
    <row r="571" spans="1:8" ht="31.5" outlineLevel="5">
      <c r="A571" s="9" t="s">
        <v>27</v>
      </c>
      <c r="B571" s="10" t="s">
        <v>318</v>
      </c>
      <c r="C571" s="10" t="s">
        <v>318</v>
      </c>
      <c r="D571" s="10" t="s">
        <v>405</v>
      </c>
      <c r="E571" s="10" t="s">
        <v>28</v>
      </c>
      <c r="F571" s="11">
        <v>400000</v>
      </c>
      <c r="G571" s="72">
        <v>236725</v>
      </c>
      <c r="H571" s="71">
        <f t="shared" si="101"/>
        <v>59.181249999999999</v>
      </c>
    </row>
    <row r="572" spans="1:8" outlineLevel="5">
      <c r="A572" s="9" t="s">
        <v>29</v>
      </c>
      <c r="B572" s="10" t="s">
        <v>318</v>
      </c>
      <c r="C572" s="10" t="s">
        <v>318</v>
      </c>
      <c r="D572" s="10" t="s">
        <v>405</v>
      </c>
      <c r="E572" s="10" t="s">
        <v>30</v>
      </c>
      <c r="F572" s="11">
        <f>F573</f>
        <v>50000</v>
      </c>
      <c r="G572" s="11">
        <f>G573</f>
        <v>50000</v>
      </c>
      <c r="H572" s="71">
        <f t="shared" ref="H572:H633" si="112">G572/F572*100</f>
        <v>100</v>
      </c>
    </row>
    <row r="573" spans="1:8" outlineLevel="5">
      <c r="A573" s="9" t="s">
        <v>33</v>
      </c>
      <c r="B573" s="10" t="s">
        <v>318</v>
      </c>
      <c r="C573" s="10" t="s">
        <v>318</v>
      </c>
      <c r="D573" s="10" t="s">
        <v>405</v>
      </c>
      <c r="E573" s="10" t="s">
        <v>34</v>
      </c>
      <c r="F573" s="11">
        <v>50000</v>
      </c>
      <c r="G573" s="11">
        <v>50000</v>
      </c>
      <c r="H573" s="71">
        <f t="shared" si="112"/>
        <v>100</v>
      </c>
    </row>
    <row r="574" spans="1:8" ht="31.5" outlineLevel="5">
      <c r="A574" s="9" t="s">
        <v>406</v>
      </c>
      <c r="B574" s="10" t="s">
        <v>318</v>
      </c>
      <c r="C574" s="10" t="s">
        <v>318</v>
      </c>
      <c r="D574" s="10" t="s">
        <v>407</v>
      </c>
      <c r="E574" s="10" t="s">
        <v>8</v>
      </c>
      <c r="F574" s="11">
        <f t="shared" ref="F574:G575" si="113">F575</f>
        <v>552000</v>
      </c>
      <c r="G574" s="11">
        <f t="shared" si="113"/>
        <v>407085</v>
      </c>
      <c r="H574" s="71">
        <f t="shared" si="112"/>
        <v>73.747282608695656</v>
      </c>
    </row>
    <row r="575" spans="1:8" ht="47.25" outlineLevel="5">
      <c r="A575" s="9" t="s">
        <v>408</v>
      </c>
      <c r="B575" s="10" t="s">
        <v>318</v>
      </c>
      <c r="C575" s="10" t="s">
        <v>318</v>
      </c>
      <c r="D575" s="10" t="s">
        <v>409</v>
      </c>
      <c r="E575" s="10" t="s">
        <v>8</v>
      </c>
      <c r="F575" s="11">
        <f t="shared" si="113"/>
        <v>552000</v>
      </c>
      <c r="G575" s="11">
        <f t="shared" si="113"/>
        <v>407085</v>
      </c>
      <c r="H575" s="71">
        <f t="shared" si="112"/>
        <v>73.747282608695656</v>
      </c>
    </row>
    <row r="576" spans="1:8" ht="31.5" outlineLevel="5">
      <c r="A576" s="9" t="s">
        <v>410</v>
      </c>
      <c r="B576" s="10" t="s">
        <v>318</v>
      </c>
      <c r="C576" s="10" t="s">
        <v>318</v>
      </c>
      <c r="D576" s="10" t="s">
        <v>411</v>
      </c>
      <c r="E576" s="10" t="s">
        <v>8</v>
      </c>
      <c r="F576" s="11">
        <f>F577+F579</f>
        <v>552000</v>
      </c>
      <c r="G576" s="11">
        <f>G577+G579</f>
        <v>407085</v>
      </c>
      <c r="H576" s="71">
        <f t="shared" si="112"/>
        <v>73.747282608695656</v>
      </c>
    </row>
    <row r="577" spans="1:8" ht="31.5" outlineLevel="5">
      <c r="A577" s="9" t="s">
        <v>25</v>
      </c>
      <c r="B577" s="10" t="s">
        <v>318</v>
      </c>
      <c r="C577" s="10" t="s">
        <v>318</v>
      </c>
      <c r="D577" s="10" t="s">
        <v>411</v>
      </c>
      <c r="E577" s="10" t="s">
        <v>26</v>
      </c>
      <c r="F577" s="11">
        <f>F578</f>
        <v>548000</v>
      </c>
      <c r="G577" s="11">
        <f>G578</f>
        <v>403085</v>
      </c>
      <c r="H577" s="71">
        <f t="shared" si="112"/>
        <v>73.555656934306569</v>
      </c>
    </row>
    <row r="578" spans="1:8" ht="31.5" outlineLevel="5">
      <c r="A578" s="9" t="s">
        <v>27</v>
      </c>
      <c r="B578" s="10" t="s">
        <v>318</v>
      </c>
      <c r="C578" s="10" t="s">
        <v>318</v>
      </c>
      <c r="D578" s="10" t="s">
        <v>411</v>
      </c>
      <c r="E578" s="10" t="s">
        <v>28</v>
      </c>
      <c r="F578" s="11">
        <f>186000+57000+305000</f>
        <v>548000</v>
      </c>
      <c r="G578" s="72">
        <v>403085</v>
      </c>
      <c r="H578" s="71">
        <f t="shared" si="112"/>
        <v>73.555656934306569</v>
      </c>
    </row>
    <row r="579" spans="1:8" ht="31.5" outlineLevel="5">
      <c r="A579" s="9" t="s">
        <v>327</v>
      </c>
      <c r="B579" s="10" t="s">
        <v>318</v>
      </c>
      <c r="C579" s="10" t="s">
        <v>318</v>
      </c>
      <c r="D579" s="10" t="s">
        <v>411</v>
      </c>
      <c r="E579" s="10" t="s">
        <v>328</v>
      </c>
      <c r="F579" s="11">
        <f>F580</f>
        <v>4000</v>
      </c>
      <c r="G579" s="11">
        <f>G580</f>
        <v>4000</v>
      </c>
      <c r="H579" s="71">
        <f t="shared" si="112"/>
        <v>100</v>
      </c>
    </row>
    <row r="580" spans="1:8" outlineLevel="5">
      <c r="A580" s="9" t="s">
        <v>329</v>
      </c>
      <c r="B580" s="10" t="s">
        <v>318</v>
      </c>
      <c r="C580" s="10" t="s">
        <v>318</v>
      </c>
      <c r="D580" s="10" t="s">
        <v>411</v>
      </c>
      <c r="E580" s="10" t="s">
        <v>330</v>
      </c>
      <c r="F580" s="11">
        <f>2000+2000</f>
        <v>4000</v>
      </c>
      <c r="G580" s="11">
        <f>2000+2000</f>
        <v>4000</v>
      </c>
      <c r="H580" s="71">
        <f t="shared" si="112"/>
        <v>100</v>
      </c>
    </row>
    <row r="581" spans="1:8" ht="78.75" outlineLevel="5">
      <c r="A581" s="21" t="s">
        <v>412</v>
      </c>
      <c r="B581" s="10" t="s">
        <v>318</v>
      </c>
      <c r="C581" s="10" t="s">
        <v>318</v>
      </c>
      <c r="D581" s="10" t="s">
        <v>413</v>
      </c>
      <c r="E581" s="10" t="s">
        <v>8</v>
      </c>
      <c r="F581" s="11">
        <f t="shared" ref="F581:G582" si="114">F582</f>
        <v>83000</v>
      </c>
      <c r="G581" s="11">
        <f t="shared" si="114"/>
        <v>48000</v>
      </c>
      <c r="H581" s="71">
        <f t="shared" si="112"/>
        <v>57.831325301204814</v>
      </c>
    </row>
    <row r="582" spans="1:8" ht="78.75" outlineLevel="5">
      <c r="A582" s="21" t="s">
        <v>414</v>
      </c>
      <c r="B582" s="10" t="s">
        <v>318</v>
      </c>
      <c r="C582" s="10" t="s">
        <v>318</v>
      </c>
      <c r="D582" s="10" t="s">
        <v>415</v>
      </c>
      <c r="E582" s="10" t="s">
        <v>8</v>
      </c>
      <c r="F582" s="11">
        <f t="shared" si="114"/>
        <v>83000</v>
      </c>
      <c r="G582" s="11">
        <f t="shared" si="114"/>
        <v>48000</v>
      </c>
      <c r="H582" s="71">
        <f t="shared" si="112"/>
        <v>57.831325301204814</v>
      </c>
    </row>
    <row r="583" spans="1:8" ht="63" outlineLevel="5">
      <c r="A583" s="21" t="s">
        <v>416</v>
      </c>
      <c r="B583" s="10" t="s">
        <v>318</v>
      </c>
      <c r="C583" s="10" t="s">
        <v>318</v>
      </c>
      <c r="D583" s="10" t="s">
        <v>417</v>
      </c>
      <c r="E583" s="10" t="s">
        <v>8</v>
      </c>
      <c r="F583" s="11">
        <f>F584</f>
        <v>83000</v>
      </c>
      <c r="G583" s="11">
        <f>G584</f>
        <v>48000</v>
      </c>
      <c r="H583" s="71">
        <f t="shared" si="112"/>
        <v>57.831325301204814</v>
      </c>
    </row>
    <row r="584" spans="1:8" ht="31.5" outlineLevel="5">
      <c r="A584" s="9" t="s">
        <v>25</v>
      </c>
      <c r="B584" s="10" t="s">
        <v>318</v>
      </c>
      <c r="C584" s="10" t="s">
        <v>318</v>
      </c>
      <c r="D584" s="10" t="s">
        <v>417</v>
      </c>
      <c r="E584" s="10" t="s">
        <v>26</v>
      </c>
      <c r="F584" s="11">
        <f>F585</f>
        <v>83000</v>
      </c>
      <c r="G584" s="11">
        <f>G585</f>
        <v>48000</v>
      </c>
      <c r="H584" s="71">
        <f t="shared" si="112"/>
        <v>57.831325301204814</v>
      </c>
    </row>
    <row r="585" spans="1:8" ht="31.5" outlineLevel="5">
      <c r="A585" s="9" t="s">
        <v>27</v>
      </c>
      <c r="B585" s="10" t="s">
        <v>318</v>
      </c>
      <c r="C585" s="10" t="s">
        <v>318</v>
      </c>
      <c r="D585" s="10" t="s">
        <v>417</v>
      </c>
      <c r="E585" s="10" t="s">
        <v>28</v>
      </c>
      <c r="F585" s="11">
        <f>48000+35000</f>
        <v>83000</v>
      </c>
      <c r="G585" s="72">
        <v>48000</v>
      </c>
      <c r="H585" s="71">
        <f t="shared" si="112"/>
        <v>57.831325301204814</v>
      </c>
    </row>
    <row r="586" spans="1:8" ht="47.25" outlineLevel="5">
      <c r="A586" s="21" t="s">
        <v>122</v>
      </c>
      <c r="B586" s="10" t="s">
        <v>318</v>
      </c>
      <c r="C586" s="10" t="s">
        <v>318</v>
      </c>
      <c r="D586" s="10" t="s">
        <v>123</v>
      </c>
      <c r="E586" s="10" t="s">
        <v>8</v>
      </c>
      <c r="F586" s="11">
        <f t="shared" ref="F586:G589" si="115">F587</f>
        <v>53000</v>
      </c>
      <c r="G586" s="11">
        <f t="shared" si="115"/>
        <v>53000</v>
      </c>
      <c r="H586" s="71">
        <f t="shared" si="112"/>
        <v>100</v>
      </c>
    </row>
    <row r="587" spans="1:8" ht="47.25" outlineLevel="5">
      <c r="A587" s="21" t="s">
        <v>124</v>
      </c>
      <c r="B587" s="10" t="s">
        <v>318</v>
      </c>
      <c r="C587" s="10" t="s">
        <v>318</v>
      </c>
      <c r="D587" s="10" t="s">
        <v>125</v>
      </c>
      <c r="E587" s="10" t="s">
        <v>8</v>
      </c>
      <c r="F587" s="11">
        <f t="shared" si="115"/>
        <v>53000</v>
      </c>
      <c r="G587" s="11">
        <f t="shared" si="115"/>
        <v>53000</v>
      </c>
      <c r="H587" s="71">
        <f t="shared" si="112"/>
        <v>100</v>
      </c>
    </row>
    <row r="588" spans="1:8" outlineLevel="5">
      <c r="A588" s="9" t="s">
        <v>418</v>
      </c>
      <c r="B588" s="10" t="s">
        <v>318</v>
      </c>
      <c r="C588" s="10" t="s">
        <v>318</v>
      </c>
      <c r="D588" s="10" t="s">
        <v>419</v>
      </c>
      <c r="E588" s="10" t="s">
        <v>8</v>
      </c>
      <c r="F588" s="11">
        <f t="shared" si="115"/>
        <v>53000</v>
      </c>
      <c r="G588" s="11">
        <f t="shared" si="115"/>
        <v>53000</v>
      </c>
      <c r="H588" s="71">
        <f t="shared" si="112"/>
        <v>100</v>
      </c>
    </row>
    <row r="589" spans="1:8" ht="31.5" outlineLevel="5">
      <c r="A589" s="9" t="s">
        <v>25</v>
      </c>
      <c r="B589" s="10" t="s">
        <v>318</v>
      </c>
      <c r="C589" s="10" t="s">
        <v>318</v>
      </c>
      <c r="D589" s="10" t="s">
        <v>419</v>
      </c>
      <c r="E589" s="10" t="s">
        <v>26</v>
      </c>
      <c r="F589" s="11">
        <f t="shared" si="115"/>
        <v>53000</v>
      </c>
      <c r="G589" s="11">
        <f t="shared" si="115"/>
        <v>53000</v>
      </c>
      <c r="H589" s="71">
        <f t="shared" si="112"/>
        <v>100</v>
      </c>
    </row>
    <row r="590" spans="1:8" ht="31.5" outlineLevel="5">
      <c r="A590" s="9" t="s">
        <v>27</v>
      </c>
      <c r="B590" s="10" t="s">
        <v>318</v>
      </c>
      <c r="C590" s="10" t="s">
        <v>318</v>
      </c>
      <c r="D590" s="10" t="s">
        <v>419</v>
      </c>
      <c r="E590" s="10" t="s">
        <v>28</v>
      </c>
      <c r="F590" s="11">
        <f>40000+13000</f>
        <v>53000</v>
      </c>
      <c r="G590" s="11">
        <f>40000+13000</f>
        <v>53000</v>
      </c>
      <c r="H590" s="71">
        <f t="shared" si="112"/>
        <v>100</v>
      </c>
    </row>
    <row r="591" spans="1:8" outlineLevel="1">
      <c r="A591" s="9" t="s">
        <v>420</v>
      </c>
      <c r="B591" s="10" t="s">
        <v>318</v>
      </c>
      <c r="C591" s="10" t="s">
        <v>166</v>
      </c>
      <c r="D591" s="10" t="s">
        <v>7</v>
      </c>
      <c r="E591" s="10" t="s">
        <v>8</v>
      </c>
      <c r="F591" s="11">
        <f>F592+F617+F622</f>
        <v>50517742.990000002</v>
      </c>
      <c r="G591" s="11">
        <f>G592+G617+G622</f>
        <v>50085968.560000002</v>
      </c>
      <c r="H591" s="71">
        <f t="shared" si="112"/>
        <v>99.145301423926497</v>
      </c>
    </row>
    <row r="592" spans="1:8" ht="31.5" outlineLevel="1">
      <c r="A592" s="9" t="s">
        <v>320</v>
      </c>
      <c r="B592" s="10" t="s">
        <v>318</v>
      </c>
      <c r="C592" s="10" t="s">
        <v>166</v>
      </c>
      <c r="D592" s="10" t="s">
        <v>321</v>
      </c>
      <c r="E592" s="10" t="s">
        <v>8</v>
      </c>
      <c r="F592" s="11">
        <f>F593+F605</f>
        <v>50229962.850000001</v>
      </c>
      <c r="G592" s="11">
        <f>G593+G605</f>
        <v>49798188.420000002</v>
      </c>
      <c r="H592" s="71">
        <f t="shared" si="112"/>
        <v>99.140404639976751</v>
      </c>
    </row>
    <row r="593" spans="1:8" ht="31.5" outlineLevel="1">
      <c r="A593" s="9" t="s">
        <v>383</v>
      </c>
      <c r="B593" s="10" t="s">
        <v>318</v>
      </c>
      <c r="C593" s="10" t="s">
        <v>166</v>
      </c>
      <c r="D593" s="10" t="s">
        <v>384</v>
      </c>
      <c r="E593" s="10" t="s">
        <v>8</v>
      </c>
      <c r="F593" s="11">
        <f>F594+F597+F602</f>
        <v>10618393.9</v>
      </c>
      <c r="G593" s="11">
        <f>G594+G597+G602</f>
        <v>10618393.9</v>
      </c>
      <c r="H593" s="71">
        <f t="shared" si="112"/>
        <v>100</v>
      </c>
    </row>
    <row r="594" spans="1:8" outlineLevel="1">
      <c r="A594" s="9" t="s">
        <v>421</v>
      </c>
      <c r="B594" s="10" t="s">
        <v>318</v>
      </c>
      <c r="C594" s="10" t="s">
        <v>166</v>
      </c>
      <c r="D594" s="10" t="s">
        <v>422</v>
      </c>
      <c r="E594" s="10" t="s">
        <v>8</v>
      </c>
      <c r="F594" s="11">
        <f t="shared" ref="F594:G595" si="116">F595</f>
        <v>1720015.5</v>
      </c>
      <c r="G594" s="11">
        <f t="shared" si="116"/>
        <v>1720015.5</v>
      </c>
      <c r="H594" s="71">
        <f t="shared" si="112"/>
        <v>100</v>
      </c>
    </row>
    <row r="595" spans="1:8" ht="31.5" outlineLevel="1">
      <c r="A595" s="9" t="s">
        <v>327</v>
      </c>
      <c r="B595" s="10" t="s">
        <v>318</v>
      </c>
      <c r="C595" s="10" t="s">
        <v>166</v>
      </c>
      <c r="D595" s="10" t="s">
        <v>422</v>
      </c>
      <c r="E595" s="10" t="s">
        <v>328</v>
      </c>
      <c r="F595" s="11">
        <f t="shared" si="116"/>
        <v>1720015.5</v>
      </c>
      <c r="G595" s="11">
        <f t="shared" si="116"/>
        <v>1720015.5</v>
      </c>
      <c r="H595" s="71">
        <f t="shared" si="112"/>
        <v>100</v>
      </c>
    </row>
    <row r="596" spans="1:8" outlineLevel="1">
      <c r="A596" s="12" t="s">
        <v>329</v>
      </c>
      <c r="B596" s="13" t="s">
        <v>318</v>
      </c>
      <c r="C596" s="13" t="s">
        <v>166</v>
      </c>
      <c r="D596" s="13" t="s">
        <v>422</v>
      </c>
      <c r="E596" s="13" t="s">
        <v>330</v>
      </c>
      <c r="F596" s="14">
        <f>1500000+228600-8584.5</f>
        <v>1720015.5</v>
      </c>
      <c r="G596" s="14">
        <f>1500000+228600-8584.5</f>
        <v>1720015.5</v>
      </c>
      <c r="H596" s="71">
        <f t="shared" si="112"/>
        <v>100</v>
      </c>
    </row>
    <row r="597" spans="1:8" ht="31.5" outlineLevel="1">
      <c r="A597" s="9" t="s">
        <v>423</v>
      </c>
      <c r="B597" s="10" t="s">
        <v>318</v>
      </c>
      <c r="C597" s="10" t="s">
        <v>166</v>
      </c>
      <c r="D597" s="10" t="s">
        <v>424</v>
      </c>
      <c r="E597" s="10" t="s">
        <v>8</v>
      </c>
      <c r="F597" s="11">
        <f>F598+F600</f>
        <v>7898378.4000000004</v>
      </c>
      <c r="G597" s="11">
        <f>G598+G600</f>
        <v>7898378.4000000004</v>
      </c>
      <c r="H597" s="71">
        <f t="shared" si="112"/>
        <v>100</v>
      </c>
    </row>
    <row r="598" spans="1:8" outlineLevel="1">
      <c r="A598" s="9" t="s">
        <v>29</v>
      </c>
      <c r="B598" s="10" t="s">
        <v>318</v>
      </c>
      <c r="C598" s="10" t="s">
        <v>166</v>
      </c>
      <c r="D598" s="10" t="s">
        <v>424</v>
      </c>
      <c r="E598" s="10" t="s">
        <v>30</v>
      </c>
      <c r="F598" s="11">
        <f>F599</f>
        <v>502851.45</v>
      </c>
      <c r="G598" s="11">
        <f>G599</f>
        <v>502851.45</v>
      </c>
      <c r="H598" s="71">
        <f t="shared" si="112"/>
        <v>100</v>
      </c>
    </row>
    <row r="599" spans="1:8" ht="31.5" outlineLevel="1">
      <c r="A599" s="12" t="s">
        <v>31</v>
      </c>
      <c r="B599" s="13" t="s">
        <v>318</v>
      </c>
      <c r="C599" s="13" t="s">
        <v>166</v>
      </c>
      <c r="D599" s="13" t="s">
        <v>424</v>
      </c>
      <c r="E599" s="13" t="s">
        <v>32</v>
      </c>
      <c r="F599" s="14">
        <f>500000+2851.45</f>
        <v>502851.45</v>
      </c>
      <c r="G599" s="14">
        <f>500000+2851.45</f>
        <v>502851.45</v>
      </c>
      <c r="H599" s="71">
        <f t="shared" si="112"/>
        <v>100</v>
      </c>
    </row>
    <row r="600" spans="1:8" ht="31.5" outlineLevel="1">
      <c r="A600" s="9" t="s">
        <v>327</v>
      </c>
      <c r="B600" s="10" t="s">
        <v>318</v>
      </c>
      <c r="C600" s="10" t="s">
        <v>166</v>
      </c>
      <c r="D600" s="10" t="s">
        <v>424</v>
      </c>
      <c r="E600" s="10" t="s">
        <v>328</v>
      </c>
      <c r="F600" s="11">
        <f>F601</f>
        <v>7395526.9500000002</v>
      </c>
      <c r="G600" s="11">
        <f>G601</f>
        <v>7395526.9500000002</v>
      </c>
      <c r="H600" s="71">
        <f t="shared" si="112"/>
        <v>100</v>
      </c>
    </row>
    <row r="601" spans="1:8" outlineLevel="1">
      <c r="A601" s="12" t="s">
        <v>329</v>
      </c>
      <c r="B601" s="13" t="s">
        <v>318</v>
      </c>
      <c r="C601" s="13" t="s">
        <v>166</v>
      </c>
      <c r="D601" s="13" t="s">
        <v>424</v>
      </c>
      <c r="E601" s="13" t="s">
        <v>330</v>
      </c>
      <c r="F601" s="14">
        <f>7398378.4-2851.45</f>
        <v>7395526.9500000002</v>
      </c>
      <c r="G601" s="14">
        <f>7398378.4-2851.45</f>
        <v>7395526.9500000002</v>
      </c>
      <c r="H601" s="71">
        <f t="shared" si="112"/>
        <v>100</v>
      </c>
    </row>
    <row r="602" spans="1:8" ht="47.25" outlineLevel="1">
      <c r="A602" s="9" t="s">
        <v>425</v>
      </c>
      <c r="B602" s="10" t="s">
        <v>318</v>
      </c>
      <c r="C602" s="10" t="s">
        <v>166</v>
      </c>
      <c r="D602" s="10" t="s">
        <v>426</v>
      </c>
      <c r="E602" s="10" t="s">
        <v>8</v>
      </c>
      <c r="F602" s="11">
        <f t="shared" ref="F602:G603" si="117">F603</f>
        <v>1000000</v>
      </c>
      <c r="G602" s="11">
        <f t="shared" si="117"/>
        <v>1000000</v>
      </c>
      <c r="H602" s="71">
        <f t="shared" si="112"/>
        <v>100</v>
      </c>
    </row>
    <row r="603" spans="1:8" ht="31.5" outlineLevel="1">
      <c r="A603" s="9" t="s">
        <v>327</v>
      </c>
      <c r="B603" s="10" t="s">
        <v>318</v>
      </c>
      <c r="C603" s="10" t="s">
        <v>166</v>
      </c>
      <c r="D603" s="10" t="s">
        <v>426</v>
      </c>
      <c r="E603" s="10" t="s">
        <v>328</v>
      </c>
      <c r="F603" s="11">
        <f t="shared" si="117"/>
        <v>1000000</v>
      </c>
      <c r="G603" s="11">
        <f t="shared" si="117"/>
        <v>1000000</v>
      </c>
      <c r="H603" s="71">
        <f t="shared" si="112"/>
        <v>100</v>
      </c>
    </row>
    <row r="604" spans="1:8" outlineLevel="1">
      <c r="A604" s="9" t="s">
        <v>329</v>
      </c>
      <c r="B604" s="10" t="s">
        <v>318</v>
      </c>
      <c r="C604" s="10" t="s">
        <v>166</v>
      </c>
      <c r="D604" s="10" t="s">
        <v>426</v>
      </c>
      <c r="E604" s="10" t="s">
        <v>330</v>
      </c>
      <c r="F604" s="11">
        <v>1000000</v>
      </c>
      <c r="G604" s="11">
        <v>1000000</v>
      </c>
      <c r="H604" s="71">
        <f t="shared" si="112"/>
        <v>100</v>
      </c>
    </row>
    <row r="605" spans="1:8" ht="31.5" outlineLevel="1">
      <c r="A605" s="9" t="s">
        <v>427</v>
      </c>
      <c r="B605" s="10" t="s">
        <v>318</v>
      </c>
      <c r="C605" s="10" t="s">
        <v>166</v>
      </c>
      <c r="D605" s="10" t="s">
        <v>428</v>
      </c>
      <c r="E605" s="10" t="s">
        <v>8</v>
      </c>
      <c r="F605" s="11">
        <f>F606+F614</f>
        <v>39611568.950000003</v>
      </c>
      <c r="G605" s="11">
        <f>G606+G614</f>
        <v>39179794.520000003</v>
      </c>
      <c r="H605" s="71">
        <f t="shared" si="112"/>
        <v>98.909978974715671</v>
      </c>
    </row>
    <row r="606" spans="1:8" ht="31.5" outlineLevel="1">
      <c r="A606" s="9" t="s">
        <v>100</v>
      </c>
      <c r="B606" s="10" t="s">
        <v>318</v>
      </c>
      <c r="C606" s="10" t="s">
        <v>166</v>
      </c>
      <c r="D606" s="10" t="s">
        <v>429</v>
      </c>
      <c r="E606" s="10" t="s">
        <v>8</v>
      </c>
      <c r="F606" s="11">
        <f>F607</f>
        <v>39510153.850000001</v>
      </c>
      <c r="G606" s="11">
        <f>G607</f>
        <v>39078379.420000002</v>
      </c>
      <c r="H606" s="71">
        <f t="shared" si="112"/>
        <v>98.907181096689143</v>
      </c>
    </row>
    <row r="607" spans="1:8" ht="63" outlineLevel="2">
      <c r="A607" s="9" t="s">
        <v>430</v>
      </c>
      <c r="B607" s="10" t="s">
        <v>318</v>
      </c>
      <c r="C607" s="10" t="s">
        <v>166</v>
      </c>
      <c r="D607" s="10" t="s">
        <v>431</v>
      </c>
      <c r="E607" s="10" t="s">
        <v>8</v>
      </c>
      <c r="F607" s="11">
        <f>F608+F610+F612</f>
        <v>39510153.850000001</v>
      </c>
      <c r="G607" s="11">
        <f>G608+G610+G612</f>
        <v>39078379.420000002</v>
      </c>
      <c r="H607" s="71">
        <f t="shared" si="112"/>
        <v>98.907181096689143</v>
      </c>
    </row>
    <row r="608" spans="1:8" ht="63" outlineLevel="3">
      <c r="A608" s="9" t="s">
        <v>17</v>
      </c>
      <c r="B608" s="10" t="s">
        <v>318</v>
      </c>
      <c r="C608" s="10" t="s">
        <v>166</v>
      </c>
      <c r="D608" s="10" t="s">
        <v>431</v>
      </c>
      <c r="E608" s="10" t="s">
        <v>18</v>
      </c>
      <c r="F608" s="11">
        <f>F609</f>
        <v>33191500</v>
      </c>
      <c r="G608" s="11">
        <f>G609</f>
        <v>33166694.77</v>
      </c>
      <c r="H608" s="71">
        <f t="shared" si="112"/>
        <v>99.925266318183873</v>
      </c>
    </row>
    <row r="609" spans="1:8" outlineLevel="5">
      <c r="A609" s="12" t="s">
        <v>78</v>
      </c>
      <c r="B609" s="13" t="s">
        <v>318</v>
      </c>
      <c r="C609" s="13" t="s">
        <v>166</v>
      </c>
      <c r="D609" s="13" t="s">
        <v>431</v>
      </c>
      <c r="E609" s="13" t="s">
        <v>79</v>
      </c>
      <c r="F609" s="14">
        <f>24691500+6000000+2500000</f>
        <v>33191500</v>
      </c>
      <c r="G609" s="72">
        <v>33166694.77</v>
      </c>
      <c r="H609" s="71">
        <f t="shared" si="112"/>
        <v>99.925266318183873</v>
      </c>
    </row>
    <row r="610" spans="1:8" ht="31.5" outlineLevel="5">
      <c r="A610" s="9" t="s">
        <v>25</v>
      </c>
      <c r="B610" s="10" t="s">
        <v>318</v>
      </c>
      <c r="C610" s="10" t="s">
        <v>166</v>
      </c>
      <c r="D610" s="10" t="s">
        <v>431</v>
      </c>
      <c r="E610" s="10" t="s">
        <v>26</v>
      </c>
      <c r="F610" s="11">
        <f>F611</f>
        <v>5845562.1399999997</v>
      </c>
      <c r="G610" s="11">
        <f>G611</f>
        <v>5438592.9400000004</v>
      </c>
      <c r="H610" s="71">
        <f t="shared" si="112"/>
        <v>93.037980090653889</v>
      </c>
    </row>
    <row r="611" spans="1:8" ht="31.5" outlineLevel="5">
      <c r="A611" s="12" t="s">
        <v>27</v>
      </c>
      <c r="B611" s="13" t="s">
        <v>318</v>
      </c>
      <c r="C611" s="13" t="s">
        <v>166</v>
      </c>
      <c r="D611" s="13" t="s">
        <v>431</v>
      </c>
      <c r="E611" s="13" t="s">
        <v>28</v>
      </c>
      <c r="F611" s="14">
        <f>4066970+1173481.47+200000+405110.67</f>
        <v>5845562.1399999997</v>
      </c>
      <c r="G611" s="72">
        <v>5438592.9400000004</v>
      </c>
      <c r="H611" s="71">
        <f t="shared" si="112"/>
        <v>93.037980090653889</v>
      </c>
    </row>
    <row r="612" spans="1:8" outlineLevel="5">
      <c r="A612" s="9" t="s">
        <v>35</v>
      </c>
      <c r="B612" s="10" t="s">
        <v>318</v>
      </c>
      <c r="C612" s="10" t="s">
        <v>166</v>
      </c>
      <c r="D612" s="10" t="s">
        <v>431</v>
      </c>
      <c r="E612" s="10" t="s">
        <v>36</v>
      </c>
      <c r="F612" s="11">
        <f>F613</f>
        <v>473091.71</v>
      </c>
      <c r="G612" s="11">
        <f>G613</f>
        <v>473091.71</v>
      </c>
      <c r="H612" s="71">
        <f t="shared" si="112"/>
        <v>100</v>
      </c>
    </row>
    <row r="613" spans="1:8" outlineLevel="5">
      <c r="A613" s="12" t="s">
        <v>37</v>
      </c>
      <c r="B613" s="13" t="s">
        <v>318</v>
      </c>
      <c r="C613" s="13" t="s">
        <v>166</v>
      </c>
      <c r="D613" s="13" t="s">
        <v>431</v>
      </c>
      <c r="E613" s="13" t="s">
        <v>38</v>
      </c>
      <c r="F613" s="14">
        <f>430000+43091.71</f>
        <v>473091.71</v>
      </c>
      <c r="G613" s="14">
        <f>430000+43091.71</f>
        <v>473091.71</v>
      </c>
      <c r="H613" s="71">
        <f t="shared" si="112"/>
        <v>100</v>
      </c>
    </row>
    <row r="614" spans="1:8" outlineLevel="5">
      <c r="A614" s="9" t="s">
        <v>333</v>
      </c>
      <c r="B614" s="10" t="s">
        <v>318</v>
      </c>
      <c r="C614" s="10" t="s">
        <v>166</v>
      </c>
      <c r="D614" s="10" t="s">
        <v>432</v>
      </c>
      <c r="E614" s="10" t="s">
        <v>8</v>
      </c>
      <c r="F614" s="11">
        <f t="shared" ref="F614:G615" si="118">F615</f>
        <v>101415.1</v>
      </c>
      <c r="G614" s="11">
        <f t="shared" si="118"/>
        <v>101415.1</v>
      </c>
      <c r="H614" s="71">
        <f t="shared" si="112"/>
        <v>100</v>
      </c>
    </row>
    <row r="615" spans="1:8" ht="31.5" outlineLevel="5">
      <c r="A615" s="9" t="s">
        <v>25</v>
      </c>
      <c r="B615" s="10" t="s">
        <v>318</v>
      </c>
      <c r="C615" s="10" t="s">
        <v>166</v>
      </c>
      <c r="D615" s="10" t="s">
        <v>432</v>
      </c>
      <c r="E615" s="10" t="s">
        <v>26</v>
      </c>
      <c r="F615" s="11">
        <f t="shared" si="118"/>
        <v>101415.1</v>
      </c>
      <c r="G615" s="11">
        <f t="shared" si="118"/>
        <v>101415.1</v>
      </c>
      <c r="H615" s="71">
        <f t="shared" si="112"/>
        <v>100</v>
      </c>
    </row>
    <row r="616" spans="1:8" ht="31.5" outlineLevel="5">
      <c r="A616" s="12" t="s">
        <v>27</v>
      </c>
      <c r="B616" s="13" t="s">
        <v>318</v>
      </c>
      <c r="C616" s="13" t="s">
        <v>166</v>
      </c>
      <c r="D616" s="13" t="s">
        <v>432</v>
      </c>
      <c r="E616" s="13" t="s">
        <v>28</v>
      </c>
      <c r="F616" s="14">
        <v>101415.1</v>
      </c>
      <c r="G616" s="14">
        <v>101415.1</v>
      </c>
      <c r="H616" s="71">
        <f t="shared" si="112"/>
        <v>100</v>
      </c>
    </row>
    <row r="617" spans="1:8" ht="31.5" outlineLevel="5">
      <c r="A617" s="9" t="s">
        <v>281</v>
      </c>
      <c r="B617" s="10" t="s">
        <v>318</v>
      </c>
      <c r="C617" s="10" t="s">
        <v>166</v>
      </c>
      <c r="D617" s="10" t="s">
        <v>282</v>
      </c>
      <c r="E617" s="10" t="s">
        <v>8</v>
      </c>
      <c r="F617" s="11">
        <f t="shared" ref="F617:G620" si="119">F618</f>
        <v>165351</v>
      </c>
      <c r="G617" s="11">
        <f t="shared" si="119"/>
        <v>165351</v>
      </c>
      <c r="H617" s="71">
        <f t="shared" si="112"/>
        <v>100</v>
      </c>
    </row>
    <row r="618" spans="1:8" ht="47.25" outlineLevel="5">
      <c r="A618" s="9" t="s">
        <v>433</v>
      </c>
      <c r="B618" s="10" t="s">
        <v>318</v>
      </c>
      <c r="C618" s="10" t="s">
        <v>166</v>
      </c>
      <c r="D618" s="10" t="s">
        <v>434</v>
      </c>
      <c r="E618" s="10" t="s">
        <v>8</v>
      </c>
      <c r="F618" s="11">
        <f t="shared" si="119"/>
        <v>165351</v>
      </c>
      <c r="G618" s="11">
        <f t="shared" si="119"/>
        <v>165351</v>
      </c>
      <c r="H618" s="71">
        <f t="shared" si="112"/>
        <v>100</v>
      </c>
    </row>
    <row r="619" spans="1:8" ht="47.25" outlineLevel="5">
      <c r="A619" s="9" t="s">
        <v>425</v>
      </c>
      <c r="B619" s="10" t="s">
        <v>318</v>
      </c>
      <c r="C619" s="10" t="s">
        <v>166</v>
      </c>
      <c r="D619" s="10" t="s">
        <v>435</v>
      </c>
      <c r="E619" s="10" t="s">
        <v>8</v>
      </c>
      <c r="F619" s="11">
        <f t="shared" si="119"/>
        <v>165351</v>
      </c>
      <c r="G619" s="11">
        <f t="shared" si="119"/>
        <v>165351</v>
      </c>
      <c r="H619" s="71">
        <f t="shared" si="112"/>
        <v>100</v>
      </c>
    </row>
    <row r="620" spans="1:8" outlineLevel="5">
      <c r="A620" s="9" t="s">
        <v>29</v>
      </c>
      <c r="B620" s="10" t="s">
        <v>318</v>
      </c>
      <c r="C620" s="10" t="s">
        <v>166</v>
      </c>
      <c r="D620" s="10" t="s">
        <v>435</v>
      </c>
      <c r="E620" s="10" t="s">
        <v>30</v>
      </c>
      <c r="F620" s="11">
        <f t="shared" si="119"/>
        <v>165351</v>
      </c>
      <c r="G620" s="11">
        <f t="shared" si="119"/>
        <v>165351</v>
      </c>
      <c r="H620" s="71">
        <f t="shared" si="112"/>
        <v>100</v>
      </c>
    </row>
    <row r="621" spans="1:8" outlineLevel="5">
      <c r="A621" s="9" t="s">
        <v>436</v>
      </c>
      <c r="B621" s="10" t="s">
        <v>318</v>
      </c>
      <c r="C621" s="10" t="s">
        <v>166</v>
      </c>
      <c r="D621" s="10" t="s">
        <v>435</v>
      </c>
      <c r="E621" s="10" t="s">
        <v>437</v>
      </c>
      <c r="F621" s="11">
        <f>135287+30064</f>
        <v>165351</v>
      </c>
      <c r="G621" s="11">
        <f>135287+30064</f>
        <v>165351</v>
      </c>
      <c r="H621" s="71">
        <f t="shared" si="112"/>
        <v>100</v>
      </c>
    </row>
    <row r="622" spans="1:8" ht="47.25" outlineLevel="5">
      <c r="A622" s="9" t="s">
        <v>341</v>
      </c>
      <c r="B622" s="10" t="s">
        <v>318</v>
      </c>
      <c r="C622" s="10" t="s">
        <v>166</v>
      </c>
      <c r="D622" s="10" t="s">
        <v>342</v>
      </c>
      <c r="E622" s="10" t="s">
        <v>8</v>
      </c>
      <c r="F622" s="11">
        <f t="shared" ref="F622:G625" si="120">F623</f>
        <v>122429.14</v>
      </c>
      <c r="G622" s="11">
        <f t="shared" si="120"/>
        <v>122429.14</v>
      </c>
      <c r="H622" s="71">
        <f t="shared" si="112"/>
        <v>100</v>
      </c>
    </row>
    <row r="623" spans="1:8" ht="47.25" outlineLevel="5">
      <c r="A623" s="9" t="s">
        <v>343</v>
      </c>
      <c r="B623" s="10" t="s">
        <v>318</v>
      </c>
      <c r="C623" s="10" t="s">
        <v>166</v>
      </c>
      <c r="D623" s="10" t="s">
        <v>344</v>
      </c>
      <c r="E623" s="10" t="s">
        <v>8</v>
      </c>
      <c r="F623" s="11">
        <f t="shared" si="120"/>
        <v>122429.14</v>
      </c>
      <c r="G623" s="11">
        <f t="shared" si="120"/>
        <v>122429.14</v>
      </c>
      <c r="H623" s="71">
        <f t="shared" si="112"/>
        <v>100</v>
      </c>
    </row>
    <row r="624" spans="1:8" outlineLevel="5">
      <c r="A624" s="9" t="s">
        <v>345</v>
      </c>
      <c r="B624" s="10" t="s">
        <v>318</v>
      </c>
      <c r="C624" s="10" t="s">
        <v>166</v>
      </c>
      <c r="D624" s="10" t="s">
        <v>346</v>
      </c>
      <c r="E624" s="10" t="s">
        <v>8</v>
      </c>
      <c r="F624" s="11">
        <f t="shared" si="120"/>
        <v>122429.14</v>
      </c>
      <c r="G624" s="11">
        <f t="shared" si="120"/>
        <v>122429.14</v>
      </c>
      <c r="H624" s="71">
        <f t="shared" si="112"/>
        <v>100</v>
      </c>
    </row>
    <row r="625" spans="1:8" ht="31.5" outlineLevel="5">
      <c r="A625" s="9" t="s">
        <v>25</v>
      </c>
      <c r="B625" s="10" t="s">
        <v>318</v>
      </c>
      <c r="C625" s="10" t="s">
        <v>166</v>
      </c>
      <c r="D625" s="10" t="s">
        <v>346</v>
      </c>
      <c r="E625" s="10" t="s">
        <v>26</v>
      </c>
      <c r="F625" s="11">
        <f t="shared" si="120"/>
        <v>122429.14</v>
      </c>
      <c r="G625" s="11">
        <f t="shared" si="120"/>
        <v>122429.14</v>
      </c>
      <c r="H625" s="71">
        <f t="shared" si="112"/>
        <v>100</v>
      </c>
    </row>
    <row r="626" spans="1:8" ht="31.5" outlineLevel="5">
      <c r="A626" s="12" t="s">
        <v>27</v>
      </c>
      <c r="B626" s="13" t="s">
        <v>318</v>
      </c>
      <c r="C626" s="13" t="s">
        <v>166</v>
      </c>
      <c r="D626" s="13" t="s">
        <v>346</v>
      </c>
      <c r="E626" s="13" t="s">
        <v>28</v>
      </c>
      <c r="F626" s="14">
        <f>50000+72429.14</f>
        <v>122429.14</v>
      </c>
      <c r="G626" s="14">
        <f>50000+72429.14</f>
        <v>122429.14</v>
      </c>
      <c r="H626" s="71">
        <f t="shared" si="112"/>
        <v>100</v>
      </c>
    </row>
    <row r="627" spans="1:8" s="3" customFormat="1">
      <c r="A627" s="48" t="s">
        <v>438</v>
      </c>
      <c r="B627" s="7" t="s">
        <v>187</v>
      </c>
      <c r="C627" s="7" t="s">
        <v>6</v>
      </c>
      <c r="D627" s="7" t="s">
        <v>7</v>
      </c>
      <c r="E627" s="7" t="s">
        <v>8</v>
      </c>
      <c r="F627" s="8">
        <f>F628+F667</f>
        <v>122385160.51000001</v>
      </c>
      <c r="G627" s="8">
        <f>G628+G667</f>
        <v>120037798.63000001</v>
      </c>
      <c r="H627" s="70">
        <f t="shared" si="112"/>
        <v>98.081988150999564</v>
      </c>
    </row>
    <row r="628" spans="1:8" outlineLevel="1">
      <c r="A628" s="9" t="s">
        <v>439</v>
      </c>
      <c r="B628" s="10" t="s">
        <v>187</v>
      </c>
      <c r="C628" s="10" t="s">
        <v>5</v>
      </c>
      <c r="D628" s="10" t="s">
        <v>7</v>
      </c>
      <c r="E628" s="10" t="s">
        <v>8</v>
      </c>
      <c r="F628" s="11">
        <f>F629+F662</f>
        <v>77887860.510000005</v>
      </c>
      <c r="G628" s="11">
        <f>G629+G662</f>
        <v>76161601.63000001</v>
      </c>
      <c r="H628" s="71">
        <f t="shared" si="112"/>
        <v>97.783661190978066</v>
      </c>
    </row>
    <row r="629" spans="1:8" ht="31.5" outlineLevel="1">
      <c r="A629" s="9" t="s">
        <v>281</v>
      </c>
      <c r="B629" s="10" t="s">
        <v>187</v>
      </c>
      <c r="C629" s="10" t="s">
        <v>5</v>
      </c>
      <c r="D629" s="10" t="s">
        <v>282</v>
      </c>
      <c r="E629" s="10" t="s">
        <v>8</v>
      </c>
      <c r="F629" s="17">
        <f>F630</f>
        <v>77856860.510000005</v>
      </c>
      <c r="G629" s="17">
        <f>G630</f>
        <v>76130601.63000001</v>
      </c>
      <c r="H629" s="71">
        <f t="shared" si="112"/>
        <v>97.782778718930913</v>
      </c>
    </row>
    <row r="630" spans="1:8" ht="31.5" outlineLevel="1">
      <c r="A630" s="9" t="s">
        <v>440</v>
      </c>
      <c r="B630" s="10" t="s">
        <v>187</v>
      </c>
      <c r="C630" s="10" t="s">
        <v>5</v>
      </c>
      <c r="D630" s="10" t="s">
        <v>441</v>
      </c>
      <c r="E630" s="10" t="s">
        <v>8</v>
      </c>
      <c r="F630" s="11">
        <f>F631+F653+F656+F659</f>
        <v>77856860.510000005</v>
      </c>
      <c r="G630" s="11">
        <f>G631+G653+G656+G659</f>
        <v>76130601.63000001</v>
      </c>
      <c r="H630" s="71">
        <f t="shared" si="112"/>
        <v>97.782778718930913</v>
      </c>
    </row>
    <row r="631" spans="1:8" ht="31.5" outlineLevel="1">
      <c r="A631" s="9" t="s">
        <v>100</v>
      </c>
      <c r="B631" s="10" t="s">
        <v>187</v>
      </c>
      <c r="C631" s="10" t="s">
        <v>5</v>
      </c>
      <c r="D631" s="10" t="s">
        <v>442</v>
      </c>
      <c r="E631" s="10" t="s">
        <v>8</v>
      </c>
      <c r="F631" s="11">
        <f>F632+F639+F646</f>
        <v>72863332.900000006</v>
      </c>
      <c r="G631" s="11">
        <f>G632+G639+G646</f>
        <v>71137074.020000011</v>
      </c>
      <c r="H631" s="71">
        <f t="shared" si="112"/>
        <v>97.630826354911378</v>
      </c>
    </row>
    <row r="632" spans="1:8" outlineLevel="1">
      <c r="A632" s="9" t="s">
        <v>443</v>
      </c>
      <c r="B632" s="10" t="s">
        <v>187</v>
      </c>
      <c r="C632" s="10" t="s">
        <v>5</v>
      </c>
      <c r="D632" s="10" t="s">
        <v>444</v>
      </c>
      <c r="E632" s="10" t="s">
        <v>8</v>
      </c>
      <c r="F632" s="11">
        <f>F633+F635+F637</f>
        <v>48549432.899999999</v>
      </c>
      <c r="G632" s="11">
        <f>G633+G635+G637</f>
        <v>47389219.210000001</v>
      </c>
      <c r="H632" s="71">
        <f t="shared" si="112"/>
        <v>97.610242549300722</v>
      </c>
    </row>
    <row r="633" spans="1:8" ht="63" outlineLevel="1">
      <c r="A633" s="9" t="s">
        <v>17</v>
      </c>
      <c r="B633" s="10" t="s">
        <v>187</v>
      </c>
      <c r="C633" s="10" t="s">
        <v>5</v>
      </c>
      <c r="D633" s="10" t="s">
        <v>444</v>
      </c>
      <c r="E633" s="10" t="s">
        <v>18</v>
      </c>
      <c r="F633" s="11">
        <f>F634</f>
        <v>36419350</v>
      </c>
      <c r="G633" s="11">
        <f>G634</f>
        <v>36419350</v>
      </c>
      <c r="H633" s="71">
        <f t="shared" si="112"/>
        <v>100</v>
      </c>
    </row>
    <row r="634" spans="1:8" outlineLevel="1">
      <c r="A634" s="12" t="s">
        <v>78</v>
      </c>
      <c r="B634" s="13" t="s">
        <v>187</v>
      </c>
      <c r="C634" s="13" t="s">
        <v>5</v>
      </c>
      <c r="D634" s="13" t="s">
        <v>444</v>
      </c>
      <c r="E634" s="13" t="s">
        <v>79</v>
      </c>
      <c r="F634" s="14">
        <f>47831040-10642690-769000</f>
        <v>36419350</v>
      </c>
      <c r="G634" s="14">
        <f>47831040-10642690-769000</f>
        <v>36419350</v>
      </c>
      <c r="H634" s="71">
        <f t="shared" ref="H634:H691" si="121">G634/F634*100</f>
        <v>100</v>
      </c>
    </row>
    <row r="635" spans="1:8" ht="31.5" outlineLevel="1">
      <c r="A635" s="9" t="s">
        <v>25</v>
      </c>
      <c r="B635" s="10" t="s">
        <v>187</v>
      </c>
      <c r="C635" s="10" t="s">
        <v>5</v>
      </c>
      <c r="D635" s="10" t="s">
        <v>444</v>
      </c>
      <c r="E635" s="10" t="s">
        <v>26</v>
      </c>
      <c r="F635" s="11">
        <f>F636</f>
        <v>11093282.9</v>
      </c>
      <c r="G635" s="11">
        <f>G636</f>
        <v>9933069.2100000009</v>
      </c>
      <c r="H635" s="71">
        <f t="shared" si="121"/>
        <v>89.541295390564684</v>
      </c>
    </row>
    <row r="636" spans="1:8" ht="31.5" outlineLevel="1">
      <c r="A636" s="12" t="s">
        <v>27</v>
      </c>
      <c r="B636" s="13" t="s">
        <v>187</v>
      </c>
      <c r="C636" s="13" t="s">
        <v>5</v>
      </c>
      <c r="D636" s="13" t="s">
        <v>444</v>
      </c>
      <c r="E636" s="13" t="s">
        <v>28</v>
      </c>
      <c r="F636" s="14">
        <f>9606900-15151.52+87989.57+292560+410000+984.85+710000</f>
        <v>11093282.9</v>
      </c>
      <c r="G636" s="72">
        <v>9933069.2100000009</v>
      </c>
      <c r="H636" s="71">
        <f t="shared" si="121"/>
        <v>89.541295390564684</v>
      </c>
    </row>
    <row r="637" spans="1:8" outlineLevel="1">
      <c r="A637" s="9" t="s">
        <v>35</v>
      </c>
      <c r="B637" s="10" t="s">
        <v>187</v>
      </c>
      <c r="C637" s="10" t="s">
        <v>5</v>
      </c>
      <c r="D637" s="10" t="s">
        <v>444</v>
      </c>
      <c r="E637" s="10" t="s">
        <v>36</v>
      </c>
      <c r="F637" s="11">
        <f>F638</f>
        <v>1036800</v>
      </c>
      <c r="G637" s="11">
        <f>G638</f>
        <v>1036800</v>
      </c>
      <c r="H637" s="71">
        <f t="shared" si="121"/>
        <v>100</v>
      </c>
    </row>
    <row r="638" spans="1:8" outlineLevel="1">
      <c r="A638" s="9" t="s">
        <v>37</v>
      </c>
      <c r="B638" s="10" t="s">
        <v>187</v>
      </c>
      <c r="C638" s="10" t="s">
        <v>5</v>
      </c>
      <c r="D638" s="10" t="s">
        <v>444</v>
      </c>
      <c r="E638" s="10" t="s">
        <v>38</v>
      </c>
      <c r="F638" s="11">
        <v>1036800</v>
      </c>
      <c r="G638" s="11">
        <v>1036800</v>
      </c>
      <c r="H638" s="71">
        <f t="shared" si="121"/>
        <v>100</v>
      </c>
    </row>
    <row r="639" spans="1:8" outlineLevel="1">
      <c r="A639" s="9" t="s">
        <v>445</v>
      </c>
      <c r="B639" s="10" t="s">
        <v>187</v>
      </c>
      <c r="C639" s="10" t="s">
        <v>5</v>
      </c>
      <c r="D639" s="10" t="s">
        <v>446</v>
      </c>
      <c r="E639" s="10" t="s">
        <v>8</v>
      </c>
      <c r="F639" s="11">
        <f>F640+F642+F644</f>
        <v>3593300</v>
      </c>
      <c r="G639" s="11">
        <f>G640+G642+G644</f>
        <v>3360810.74</v>
      </c>
      <c r="H639" s="71">
        <f t="shared" si="121"/>
        <v>93.529923468677822</v>
      </c>
    </row>
    <row r="640" spans="1:8" ht="63" outlineLevel="1">
      <c r="A640" s="9" t="s">
        <v>17</v>
      </c>
      <c r="B640" s="10" t="s">
        <v>187</v>
      </c>
      <c r="C640" s="10" t="s">
        <v>5</v>
      </c>
      <c r="D640" s="10" t="s">
        <v>446</v>
      </c>
      <c r="E640" s="10" t="s">
        <v>18</v>
      </c>
      <c r="F640" s="11">
        <f>F641</f>
        <v>2804800</v>
      </c>
      <c r="G640" s="11">
        <f>G641</f>
        <v>2804800</v>
      </c>
      <c r="H640" s="71">
        <f t="shared" si="121"/>
        <v>100</v>
      </c>
    </row>
    <row r="641" spans="1:8" outlineLevel="2">
      <c r="A641" s="12" t="s">
        <v>78</v>
      </c>
      <c r="B641" s="13" t="s">
        <v>187</v>
      </c>
      <c r="C641" s="13" t="s">
        <v>5</v>
      </c>
      <c r="D641" s="13" t="s">
        <v>446</v>
      </c>
      <c r="E641" s="13" t="s">
        <v>79</v>
      </c>
      <c r="F641" s="14">
        <f>3367000-552500-9700</f>
        <v>2804800</v>
      </c>
      <c r="G641" s="14">
        <f>3367000-552500-9700</f>
        <v>2804800</v>
      </c>
      <c r="H641" s="71">
        <f t="shared" si="121"/>
        <v>100</v>
      </c>
    </row>
    <row r="642" spans="1:8" ht="31.5" outlineLevel="3">
      <c r="A642" s="9" t="s">
        <v>25</v>
      </c>
      <c r="B642" s="10" t="s">
        <v>187</v>
      </c>
      <c r="C642" s="10" t="s">
        <v>5</v>
      </c>
      <c r="D642" s="10" t="s">
        <v>446</v>
      </c>
      <c r="E642" s="10" t="s">
        <v>26</v>
      </c>
      <c r="F642" s="11">
        <f>F643</f>
        <v>768000</v>
      </c>
      <c r="G642" s="11">
        <f>G643</f>
        <v>535510.74</v>
      </c>
      <c r="H642" s="71">
        <f t="shared" si="121"/>
        <v>69.727960937500001</v>
      </c>
    </row>
    <row r="643" spans="1:8" ht="31.5" outlineLevel="5">
      <c r="A643" s="9" t="s">
        <v>27</v>
      </c>
      <c r="B643" s="10" t="s">
        <v>187</v>
      </c>
      <c r="C643" s="10" t="s">
        <v>5</v>
      </c>
      <c r="D643" s="10" t="s">
        <v>446</v>
      </c>
      <c r="E643" s="10" t="s">
        <v>28</v>
      </c>
      <c r="F643" s="11">
        <v>768000</v>
      </c>
      <c r="G643" s="72">
        <v>535510.74</v>
      </c>
      <c r="H643" s="71">
        <f t="shared" si="121"/>
        <v>69.727960937500001</v>
      </c>
    </row>
    <row r="644" spans="1:8" outlineLevel="5">
      <c r="A644" s="9" t="s">
        <v>35</v>
      </c>
      <c r="B644" s="10" t="s">
        <v>187</v>
      </c>
      <c r="C644" s="10" t="s">
        <v>5</v>
      </c>
      <c r="D644" s="10" t="s">
        <v>446</v>
      </c>
      <c r="E644" s="10" t="s">
        <v>36</v>
      </c>
      <c r="F644" s="11">
        <f>F645</f>
        <v>20500</v>
      </c>
      <c r="G644" s="11">
        <f>G645</f>
        <v>20500</v>
      </c>
      <c r="H644" s="71">
        <f t="shared" si="121"/>
        <v>100</v>
      </c>
    </row>
    <row r="645" spans="1:8" outlineLevel="5">
      <c r="A645" s="9" t="s">
        <v>37</v>
      </c>
      <c r="B645" s="10" t="s">
        <v>187</v>
      </c>
      <c r="C645" s="10" t="s">
        <v>5</v>
      </c>
      <c r="D645" s="10" t="s">
        <v>446</v>
      </c>
      <c r="E645" s="10" t="s">
        <v>38</v>
      </c>
      <c r="F645" s="11">
        <v>20500</v>
      </c>
      <c r="G645" s="11">
        <v>20500</v>
      </c>
      <c r="H645" s="71">
        <f t="shared" si="121"/>
        <v>100</v>
      </c>
    </row>
    <row r="646" spans="1:8" outlineLevel="5">
      <c r="A646" s="9" t="s">
        <v>447</v>
      </c>
      <c r="B646" s="10" t="s">
        <v>187</v>
      </c>
      <c r="C646" s="10" t="s">
        <v>5</v>
      </c>
      <c r="D646" s="10" t="s">
        <v>448</v>
      </c>
      <c r="E646" s="10" t="s">
        <v>8</v>
      </c>
      <c r="F646" s="17">
        <f>F647+F649+F651</f>
        <v>20720600</v>
      </c>
      <c r="G646" s="17">
        <f>G647+G649+G651</f>
        <v>20387044.07</v>
      </c>
      <c r="H646" s="71">
        <f t="shared" si="121"/>
        <v>98.390220698242331</v>
      </c>
    </row>
    <row r="647" spans="1:8" ht="63" outlineLevel="5">
      <c r="A647" s="9" t="s">
        <v>17</v>
      </c>
      <c r="B647" s="10" t="s">
        <v>187</v>
      </c>
      <c r="C647" s="10" t="s">
        <v>5</v>
      </c>
      <c r="D647" s="10" t="s">
        <v>448</v>
      </c>
      <c r="E647" s="10" t="s">
        <v>18</v>
      </c>
      <c r="F647" s="17">
        <f>F648</f>
        <v>18051100</v>
      </c>
      <c r="G647" s="17">
        <f>G648</f>
        <v>18051100</v>
      </c>
      <c r="H647" s="71">
        <f t="shared" si="121"/>
        <v>100</v>
      </c>
    </row>
    <row r="648" spans="1:8" outlineLevel="5">
      <c r="A648" s="9" t="s">
        <v>78</v>
      </c>
      <c r="B648" s="10" t="s">
        <v>187</v>
      </c>
      <c r="C648" s="10" t="s">
        <v>5</v>
      </c>
      <c r="D648" s="10" t="s">
        <v>448</v>
      </c>
      <c r="E648" s="10" t="s">
        <v>79</v>
      </c>
      <c r="F648" s="17">
        <f>17483000+568100</f>
        <v>18051100</v>
      </c>
      <c r="G648" s="17">
        <f>17483000+568100</f>
        <v>18051100</v>
      </c>
      <c r="H648" s="71">
        <f t="shared" si="121"/>
        <v>100</v>
      </c>
    </row>
    <row r="649" spans="1:8" ht="31.5" outlineLevel="5">
      <c r="A649" s="9" t="s">
        <v>25</v>
      </c>
      <c r="B649" s="10" t="s">
        <v>187</v>
      </c>
      <c r="C649" s="10" t="s">
        <v>5</v>
      </c>
      <c r="D649" s="10" t="s">
        <v>448</v>
      </c>
      <c r="E649" s="10" t="s">
        <v>26</v>
      </c>
      <c r="F649" s="17">
        <f>F650</f>
        <v>2636500</v>
      </c>
      <c r="G649" s="17">
        <f>G650</f>
        <v>2302944.0699999998</v>
      </c>
      <c r="H649" s="71">
        <f t="shared" si="121"/>
        <v>87.348532903470499</v>
      </c>
    </row>
    <row r="650" spans="1:8" ht="31.5" outlineLevel="5">
      <c r="A650" s="9" t="s">
        <v>27</v>
      </c>
      <c r="B650" s="10" t="s">
        <v>187</v>
      </c>
      <c r="C650" s="10" t="s">
        <v>5</v>
      </c>
      <c r="D650" s="10" t="s">
        <v>448</v>
      </c>
      <c r="E650" s="10" t="s">
        <v>28</v>
      </c>
      <c r="F650" s="17">
        <v>2636500</v>
      </c>
      <c r="G650" s="72">
        <v>2302944.0699999998</v>
      </c>
      <c r="H650" s="71">
        <f t="shared" si="121"/>
        <v>87.348532903470499</v>
      </c>
    </row>
    <row r="651" spans="1:8" outlineLevel="5">
      <c r="A651" s="9" t="s">
        <v>35</v>
      </c>
      <c r="B651" s="10" t="s">
        <v>187</v>
      </c>
      <c r="C651" s="10" t="s">
        <v>5</v>
      </c>
      <c r="D651" s="10" t="s">
        <v>448</v>
      </c>
      <c r="E651" s="10" t="s">
        <v>36</v>
      </c>
      <c r="F651" s="17">
        <f>F652</f>
        <v>33000</v>
      </c>
      <c r="G651" s="17">
        <f>G652</f>
        <v>33000</v>
      </c>
      <c r="H651" s="71">
        <f t="shared" si="121"/>
        <v>100</v>
      </c>
    </row>
    <row r="652" spans="1:8" outlineLevel="5">
      <c r="A652" s="9" t="s">
        <v>37</v>
      </c>
      <c r="B652" s="10" t="s">
        <v>187</v>
      </c>
      <c r="C652" s="10" t="s">
        <v>5</v>
      </c>
      <c r="D652" s="10" t="s">
        <v>448</v>
      </c>
      <c r="E652" s="10" t="s">
        <v>38</v>
      </c>
      <c r="F652" s="17">
        <v>33000</v>
      </c>
      <c r="G652" s="17">
        <v>33000</v>
      </c>
      <c r="H652" s="71">
        <f t="shared" si="121"/>
        <v>100</v>
      </c>
    </row>
    <row r="653" spans="1:8" ht="47.25" outlineLevel="5">
      <c r="A653" s="9" t="s">
        <v>449</v>
      </c>
      <c r="B653" s="10" t="s">
        <v>187</v>
      </c>
      <c r="C653" s="10" t="s">
        <v>5</v>
      </c>
      <c r="D653" s="10" t="s">
        <v>450</v>
      </c>
      <c r="E653" s="10" t="s">
        <v>8</v>
      </c>
      <c r="F653" s="17">
        <f t="shared" ref="F653:G654" si="122">F654</f>
        <v>3403659.9200000004</v>
      </c>
      <c r="G653" s="17">
        <f t="shared" si="122"/>
        <v>3403659.9200000004</v>
      </c>
      <c r="H653" s="71">
        <f t="shared" si="121"/>
        <v>100</v>
      </c>
    </row>
    <row r="654" spans="1:8" ht="31.5" outlineLevel="5">
      <c r="A654" s="9" t="s">
        <v>25</v>
      </c>
      <c r="B654" s="10" t="s">
        <v>187</v>
      </c>
      <c r="C654" s="10" t="s">
        <v>5</v>
      </c>
      <c r="D654" s="10" t="s">
        <v>450</v>
      </c>
      <c r="E654" s="10" t="s">
        <v>26</v>
      </c>
      <c r="F654" s="17">
        <f t="shared" si="122"/>
        <v>3403659.9200000004</v>
      </c>
      <c r="G654" s="17">
        <f t="shared" si="122"/>
        <v>3403659.9200000004</v>
      </c>
      <c r="H654" s="71">
        <f t="shared" si="121"/>
        <v>100</v>
      </c>
    </row>
    <row r="655" spans="1:8" ht="31.5" outlineLevel="5">
      <c r="A655" s="9" t="s">
        <v>27</v>
      </c>
      <c r="B655" s="10" t="s">
        <v>187</v>
      </c>
      <c r="C655" s="10" t="s">
        <v>5</v>
      </c>
      <c r="D655" s="10" t="s">
        <v>450</v>
      </c>
      <c r="E655" s="10" t="s">
        <v>28</v>
      </c>
      <c r="F655" s="17">
        <f>104749.49+3386900-87989.57</f>
        <v>3403659.9200000004</v>
      </c>
      <c r="G655" s="17">
        <f>104749.49+3386900-87989.57</f>
        <v>3403659.9200000004</v>
      </c>
      <c r="H655" s="71">
        <f t="shared" si="121"/>
        <v>100</v>
      </c>
    </row>
    <row r="656" spans="1:8" ht="31.5" outlineLevel="5">
      <c r="A656" s="9" t="s">
        <v>451</v>
      </c>
      <c r="B656" s="10" t="s">
        <v>187</v>
      </c>
      <c r="C656" s="10" t="s">
        <v>5</v>
      </c>
      <c r="D656" s="10" t="s">
        <v>452</v>
      </c>
      <c r="E656" s="10" t="s">
        <v>8</v>
      </c>
      <c r="F656" s="17">
        <f t="shared" ref="F656:G657" si="123">F657</f>
        <v>173201.03</v>
      </c>
      <c r="G656" s="17">
        <f t="shared" si="123"/>
        <v>173201.03</v>
      </c>
      <c r="H656" s="71">
        <f t="shared" si="121"/>
        <v>100</v>
      </c>
    </row>
    <row r="657" spans="1:8" ht="31.5" outlineLevel="5">
      <c r="A657" s="9" t="s">
        <v>25</v>
      </c>
      <c r="B657" s="10" t="s">
        <v>187</v>
      </c>
      <c r="C657" s="10" t="s">
        <v>5</v>
      </c>
      <c r="D657" s="10" t="s">
        <v>452</v>
      </c>
      <c r="E657" s="10" t="s">
        <v>26</v>
      </c>
      <c r="F657" s="17">
        <f t="shared" si="123"/>
        <v>173201.03</v>
      </c>
      <c r="G657" s="17">
        <f t="shared" si="123"/>
        <v>173201.03</v>
      </c>
      <c r="H657" s="71">
        <f t="shared" si="121"/>
        <v>100</v>
      </c>
    </row>
    <row r="658" spans="1:8" ht="31.5" outlineLevel="5">
      <c r="A658" s="9" t="s">
        <v>27</v>
      </c>
      <c r="B658" s="10" t="s">
        <v>187</v>
      </c>
      <c r="C658" s="10" t="s">
        <v>5</v>
      </c>
      <c r="D658" s="10" t="s">
        <v>452</v>
      </c>
      <c r="E658" s="10" t="s">
        <v>28</v>
      </c>
      <c r="F658" s="17">
        <f>5196.03+168005</f>
        <v>173201.03</v>
      </c>
      <c r="G658" s="17">
        <f>5196.03+168005</f>
        <v>173201.03</v>
      </c>
      <c r="H658" s="71">
        <f t="shared" si="121"/>
        <v>100</v>
      </c>
    </row>
    <row r="659" spans="1:8" ht="31.5" outlineLevel="5">
      <c r="A659" s="25" t="s">
        <v>373</v>
      </c>
      <c r="B659" s="10" t="s">
        <v>187</v>
      </c>
      <c r="C659" s="10" t="s">
        <v>5</v>
      </c>
      <c r="D659" s="10" t="s">
        <v>453</v>
      </c>
      <c r="E659" s="10" t="s">
        <v>8</v>
      </c>
      <c r="F659" s="17">
        <f t="shared" ref="F659:G660" si="124">F660</f>
        <v>1416666.66</v>
      </c>
      <c r="G659" s="17">
        <f t="shared" si="124"/>
        <v>1416666.66</v>
      </c>
      <c r="H659" s="71">
        <f t="shared" si="121"/>
        <v>100</v>
      </c>
    </row>
    <row r="660" spans="1:8" ht="31.5" outlineLevel="5">
      <c r="A660" s="9" t="s">
        <v>25</v>
      </c>
      <c r="B660" s="10" t="s">
        <v>187</v>
      </c>
      <c r="C660" s="10" t="s">
        <v>5</v>
      </c>
      <c r="D660" s="10" t="s">
        <v>453</v>
      </c>
      <c r="E660" s="10" t="s">
        <v>26</v>
      </c>
      <c r="F660" s="17">
        <f t="shared" si="124"/>
        <v>1416666.66</v>
      </c>
      <c r="G660" s="17">
        <f t="shared" si="124"/>
        <v>1416666.66</v>
      </c>
      <c r="H660" s="71">
        <f t="shared" si="121"/>
        <v>100</v>
      </c>
    </row>
    <row r="661" spans="1:8" ht="31.5" outlineLevel="5">
      <c r="A661" s="9" t="s">
        <v>27</v>
      </c>
      <c r="B661" s="10" t="s">
        <v>187</v>
      </c>
      <c r="C661" s="10" t="s">
        <v>5</v>
      </c>
      <c r="D661" s="10" t="s">
        <v>453</v>
      </c>
      <c r="E661" s="10" t="s">
        <v>28</v>
      </c>
      <c r="F661" s="17">
        <f>15151.52+1500000-97500.01-984.85</f>
        <v>1416666.66</v>
      </c>
      <c r="G661" s="17">
        <f>15151.52+1500000-97500.01-984.85</f>
        <v>1416666.66</v>
      </c>
      <c r="H661" s="71">
        <f t="shared" si="121"/>
        <v>100</v>
      </c>
    </row>
    <row r="662" spans="1:8" ht="47.25" outlineLevel="5">
      <c r="A662" s="9" t="s">
        <v>110</v>
      </c>
      <c r="B662" s="10" t="s">
        <v>187</v>
      </c>
      <c r="C662" s="10" t="s">
        <v>5</v>
      </c>
      <c r="D662" s="10" t="s">
        <v>111</v>
      </c>
      <c r="E662" s="10" t="s">
        <v>8</v>
      </c>
      <c r="F662" s="11">
        <f t="shared" ref="F662:G665" si="125">F663</f>
        <v>31000</v>
      </c>
      <c r="G662" s="11">
        <f t="shared" si="125"/>
        <v>31000</v>
      </c>
      <c r="H662" s="71">
        <f t="shared" si="121"/>
        <v>100</v>
      </c>
    </row>
    <row r="663" spans="1:8" ht="47.25" outlineLevel="5">
      <c r="A663" s="9" t="s">
        <v>112</v>
      </c>
      <c r="B663" s="10" t="s">
        <v>187</v>
      </c>
      <c r="C663" s="10" t="s">
        <v>5</v>
      </c>
      <c r="D663" s="10" t="s">
        <v>113</v>
      </c>
      <c r="E663" s="10" t="s">
        <v>8</v>
      </c>
      <c r="F663" s="11">
        <f t="shared" si="125"/>
        <v>31000</v>
      </c>
      <c r="G663" s="11">
        <f t="shared" si="125"/>
        <v>31000</v>
      </c>
      <c r="H663" s="71">
        <f t="shared" si="121"/>
        <v>100</v>
      </c>
    </row>
    <row r="664" spans="1:8" ht="31.5" outlineLevel="5">
      <c r="A664" s="9" t="s">
        <v>114</v>
      </c>
      <c r="B664" s="10" t="s">
        <v>187</v>
      </c>
      <c r="C664" s="10" t="s">
        <v>5</v>
      </c>
      <c r="D664" s="10" t="s">
        <v>115</v>
      </c>
      <c r="E664" s="10" t="s">
        <v>8</v>
      </c>
      <c r="F664" s="11">
        <f t="shared" si="125"/>
        <v>31000</v>
      </c>
      <c r="G664" s="11">
        <f t="shared" si="125"/>
        <v>31000</v>
      </c>
      <c r="H664" s="71">
        <f t="shared" si="121"/>
        <v>100</v>
      </c>
    </row>
    <row r="665" spans="1:8" ht="31.5" outlineLevel="5">
      <c r="A665" s="9" t="s">
        <v>25</v>
      </c>
      <c r="B665" s="10" t="s">
        <v>187</v>
      </c>
      <c r="C665" s="10" t="s">
        <v>5</v>
      </c>
      <c r="D665" s="10" t="s">
        <v>115</v>
      </c>
      <c r="E665" s="10" t="s">
        <v>26</v>
      </c>
      <c r="F665" s="11">
        <f t="shared" si="125"/>
        <v>31000</v>
      </c>
      <c r="G665" s="11">
        <f t="shared" si="125"/>
        <v>31000</v>
      </c>
      <c r="H665" s="71">
        <f t="shared" si="121"/>
        <v>100</v>
      </c>
    </row>
    <row r="666" spans="1:8" ht="31.5" outlineLevel="5">
      <c r="A666" s="9" t="s">
        <v>27</v>
      </c>
      <c r="B666" s="10" t="s">
        <v>187</v>
      </c>
      <c r="C666" s="10" t="s">
        <v>5</v>
      </c>
      <c r="D666" s="10" t="s">
        <v>115</v>
      </c>
      <c r="E666" s="10" t="s">
        <v>28</v>
      </c>
      <c r="F666" s="11">
        <v>31000</v>
      </c>
      <c r="G666" s="11">
        <v>31000</v>
      </c>
      <c r="H666" s="71">
        <f t="shared" si="121"/>
        <v>100</v>
      </c>
    </row>
    <row r="667" spans="1:8" outlineLevel="1">
      <c r="A667" s="9" t="s">
        <v>454</v>
      </c>
      <c r="B667" s="10" t="s">
        <v>187</v>
      </c>
      <c r="C667" s="10" t="s">
        <v>42</v>
      </c>
      <c r="D667" s="10" t="s">
        <v>7</v>
      </c>
      <c r="E667" s="10" t="s">
        <v>8</v>
      </c>
      <c r="F667" s="11">
        <f t="shared" ref="F667:G670" si="126">F668</f>
        <v>44497300</v>
      </c>
      <c r="G667" s="11">
        <f t="shared" si="126"/>
        <v>43876197</v>
      </c>
      <c r="H667" s="71">
        <f t="shared" si="121"/>
        <v>98.604178231038745</v>
      </c>
    </row>
    <row r="668" spans="1:8" ht="31.5" outlineLevel="1">
      <c r="A668" s="9" t="s">
        <v>281</v>
      </c>
      <c r="B668" s="10" t="s">
        <v>187</v>
      </c>
      <c r="C668" s="10" t="s">
        <v>42</v>
      </c>
      <c r="D668" s="10" t="s">
        <v>282</v>
      </c>
      <c r="E668" s="10" t="s">
        <v>8</v>
      </c>
      <c r="F668" s="11">
        <f t="shared" si="126"/>
        <v>44497300</v>
      </c>
      <c r="G668" s="11">
        <f t="shared" si="126"/>
        <v>43876197</v>
      </c>
      <c r="H668" s="71">
        <f t="shared" si="121"/>
        <v>98.604178231038745</v>
      </c>
    </row>
    <row r="669" spans="1:8" ht="47.25" outlineLevel="1">
      <c r="A669" s="9" t="s">
        <v>283</v>
      </c>
      <c r="B669" s="10" t="s">
        <v>187</v>
      </c>
      <c r="C669" s="10" t="s">
        <v>42</v>
      </c>
      <c r="D669" s="10" t="s">
        <v>284</v>
      </c>
      <c r="E669" s="10" t="s">
        <v>8</v>
      </c>
      <c r="F669" s="11">
        <f t="shared" si="126"/>
        <v>44497300</v>
      </c>
      <c r="G669" s="11">
        <f t="shared" si="126"/>
        <v>43876197</v>
      </c>
      <c r="H669" s="71">
        <f t="shared" si="121"/>
        <v>98.604178231038745</v>
      </c>
    </row>
    <row r="670" spans="1:8" ht="31.5" outlineLevel="1">
      <c r="A670" s="9" t="s">
        <v>100</v>
      </c>
      <c r="B670" s="10" t="s">
        <v>187</v>
      </c>
      <c r="C670" s="10" t="s">
        <v>42</v>
      </c>
      <c r="D670" s="10" t="s">
        <v>455</v>
      </c>
      <c r="E670" s="10" t="s">
        <v>8</v>
      </c>
      <c r="F670" s="11">
        <f t="shared" si="126"/>
        <v>44497300</v>
      </c>
      <c r="G670" s="11">
        <f t="shared" si="126"/>
        <v>43876197</v>
      </c>
      <c r="H670" s="71">
        <f t="shared" si="121"/>
        <v>98.604178231038745</v>
      </c>
    </row>
    <row r="671" spans="1:8" ht="63" outlineLevel="1">
      <c r="A671" s="9" t="s">
        <v>430</v>
      </c>
      <c r="B671" s="10" t="s">
        <v>187</v>
      </c>
      <c r="C671" s="10" t="s">
        <v>42</v>
      </c>
      <c r="D671" s="10" t="s">
        <v>456</v>
      </c>
      <c r="E671" s="10" t="s">
        <v>8</v>
      </c>
      <c r="F671" s="17">
        <f>F672+F674+F676</f>
        <v>44497300</v>
      </c>
      <c r="G671" s="17">
        <f>G672+G674+G676</f>
        <v>43876197</v>
      </c>
      <c r="H671" s="71">
        <f t="shared" si="121"/>
        <v>98.604178231038745</v>
      </c>
    </row>
    <row r="672" spans="1:8" ht="63" outlineLevel="1">
      <c r="A672" s="9" t="s">
        <v>17</v>
      </c>
      <c r="B672" s="10" t="s">
        <v>187</v>
      </c>
      <c r="C672" s="10" t="s">
        <v>42</v>
      </c>
      <c r="D672" s="10" t="s">
        <v>456</v>
      </c>
      <c r="E672" s="10" t="s">
        <v>18</v>
      </c>
      <c r="F672" s="17">
        <f>F673</f>
        <v>38272000</v>
      </c>
      <c r="G672" s="17">
        <f>G673</f>
        <v>38272000</v>
      </c>
      <c r="H672" s="71">
        <f t="shared" si="121"/>
        <v>100</v>
      </c>
    </row>
    <row r="673" spans="1:8" outlineLevel="1">
      <c r="A673" s="12" t="s">
        <v>78</v>
      </c>
      <c r="B673" s="13" t="s">
        <v>187</v>
      </c>
      <c r="C673" s="13" t="s">
        <v>42</v>
      </c>
      <c r="D673" s="13" t="s">
        <v>456</v>
      </c>
      <c r="E673" s="13" t="s">
        <v>79</v>
      </c>
      <c r="F673" s="16">
        <f>39139000+163000-1030000</f>
        <v>38272000</v>
      </c>
      <c r="G673" s="16">
        <f>39139000+163000-1030000</f>
        <v>38272000</v>
      </c>
      <c r="H673" s="71">
        <f t="shared" si="121"/>
        <v>100</v>
      </c>
    </row>
    <row r="674" spans="1:8" ht="31.5" outlineLevel="1">
      <c r="A674" s="9" t="s">
        <v>25</v>
      </c>
      <c r="B674" s="10" t="s">
        <v>187</v>
      </c>
      <c r="C674" s="10" t="s">
        <v>42</v>
      </c>
      <c r="D674" s="10" t="s">
        <v>456</v>
      </c>
      <c r="E674" s="10" t="s">
        <v>26</v>
      </c>
      <c r="F674" s="17">
        <f>F675</f>
        <v>5815000</v>
      </c>
      <c r="G674" s="17">
        <f>G675</f>
        <v>5193897</v>
      </c>
      <c r="H674" s="71">
        <f t="shared" si="121"/>
        <v>89.31895098882201</v>
      </c>
    </row>
    <row r="675" spans="1:8" ht="31.5" outlineLevel="1">
      <c r="A675" s="12" t="s">
        <v>27</v>
      </c>
      <c r="B675" s="13" t="s">
        <v>187</v>
      </c>
      <c r="C675" s="13" t="s">
        <v>42</v>
      </c>
      <c r="D675" s="13" t="s">
        <v>456</v>
      </c>
      <c r="E675" s="13" t="s">
        <v>28</v>
      </c>
      <c r="F675" s="16">
        <f>6225000+300000-710000</f>
        <v>5815000</v>
      </c>
      <c r="G675" s="72">
        <v>5193897</v>
      </c>
      <c r="H675" s="71">
        <f t="shared" si="121"/>
        <v>89.31895098882201</v>
      </c>
    </row>
    <row r="676" spans="1:8" outlineLevel="1">
      <c r="A676" s="9" t="s">
        <v>35</v>
      </c>
      <c r="B676" s="10" t="s">
        <v>187</v>
      </c>
      <c r="C676" s="10" t="s">
        <v>42</v>
      </c>
      <c r="D676" s="10" t="s">
        <v>456</v>
      </c>
      <c r="E676" s="10" t="s">
        <v>36</v>
      </c>
      <c r="F676" s="17">
        <f>F677</f>
        <v>410300</v>
      </c>
      <c r="G676" s="17">
        <f>G677</f>
        <v>410300</v>
      </c>
      <c r="H676" s="71">
        <f t="shared" si="121"/>
        <v>100</v>
      </c>
    </row>
    <row r="677" spans="1:8" outlineLevel="1">
      <c r="A677" s="9" t="s">
        <v>37</v>
      </c>
      <c r="B677" s="10" t="s">
        <v>187</v>
      </c>
      <c r="C677" s="10" t="s">
        <v>42</v>
      </c>
      <c r="D677" s="10" t="s">
        <v>456</v>
      </c>
      <c r="E677" s="10" t="s">
        <v>38</v>
      </c>
      <c r="F677" s="17">
        <v>410300</v>
      </c>
      <c r="G677" s="17">
        <v>410300</v>
      </c>
      <c r="H677" s="71">
        <f t="shared" si="121"/>
        <v>100</v>
      </c>
    </row>
    <row r="678" spans="1:8" s="3" customFormat="1">
      <c r="A678" s="6" t="s">
        <v>457</v>
      </c>
      <c r="B678" s="7" t="s">
        <v>171</v>
      </c>
      <c r="C678" s="7" t="s">
        <v>6</v>
      </c>
      <c r="D678" s="7" t="s">
        <v>7</v>
      </c>
      <c r="E678" s="7" t="s">
        <v>8</v>
      </c>
      <c r="F678" s="8">
        <f>F679+F708+F685+F736</f>
        <v>109216101.20999999</v>
      </c>
      <c r="G678" s="8">
        <f>G679+G708+G685+G736</f>
        <v>107658974.40000001</v>
      </c>
      <c r="H678" s="70">
        <f t="shared" si="121"/>
        <v>98.574269917394361</v>
      </c>
    </row>
    <row r="679" spans="1:8" outlineLevel="1">
      <c r="A679" s="9" t="s">
        <v>458</v>
      </c>
      <c r="B679" s="10" t="s">
        <v>171</v>
      </c>
      <c r="C679" s="10" t="s">
        <v>5</v>
      </c>
      <c r="D679" s="10" t="s">
        <v>7</v>
      </c>
      <c r="E679" s="10" t="s">
        <v>8</v>
      </c>
      <c r="F679" s="11">
        <f t="shared" ref="F679:G683" si="127">F680</f>
        <v>8437474.3000000007</v>
      </c>
      <c r="G679" s="11">
        <f t="shared" si="127"/>
        <v>8350163.1799999997</v>
      </c>
      <c r="H679" s="71">
        <f t="shared" si="121"/>
        <v>98.965198388811672</v>
      </c>
    </row>
    <row r="680" spans="1:8" ht="47.25" outlineLevel="1">
      <c r="A680" s="9" t="s">
        <v>65</v>
      </c>
      <c r="B680" s="10" t="s">
        <v>171</v>
      </c>
      <c r="C680" s="10" t="s">
        <v>5</v>
      </c>
      <c r="D680" s="10" t="s">
        <v>66</v>
      </c>
      <c r="E680" s="10" t="s">
        <v>8</v>
      </c>
      <c r="F680" s="11">
        <f t="shared" si="127"/>
        <v>8437474.3000000007</v>
      </c>
      <c r="G680" s="11">
        <f t="shared" si="127"/>
        <v>8350163.1799999997</v>
      </c>
      <c r="H680" s="71">
        <f t="shared" si="121"/>
        <v>98.965198388811672</v>
      </c>
    </row>
    <row r="681" spans="1:8" ht="47.25" outlineLevel="2">
      <c r="A681" s="9" t="s">
        <v>67</v>
      </c>
      <c r="B681" s="10" t="s">
        <v>171</v>
      </c>
      <c r="C681" s="10" t="s">
        <v>5</v>
      </c>
      <c r="D681" s="10" t="s">
        <v>68</v>
      </c>
      <c r="E681" s="10" t="s">
        <v>8</v>
      </c>
      <c r="F681" s="11">
        <f t="shared" si="127"/>
        <v>8437474.3000000007</v>
      </c>
      <c r="G681" s="11">
        <f t="shared" si="127"/>
        <v>8350163.1799999997</v>
      </c>
      <c r="H681" s="71">
        <f t="shared" si="121"/>
        <v>98.965198388811672</v>
      </c>
    </row>
    <row r="682" spans="1:8" outlineLevel="3">
      <c r="A682" s="9" t="s">
        <v>459</v>
      </c>
      <c r="B682" s="10" t="s">
        <v>171</v>
      </c>
      <c r="C682" s="10" t="s">
        <v>5</v>
      </c>
      <c r="D682" s="10" t="s">
        <v>460</v>
      </c>
      <c r="E682" s="10" t="s">
        <v>8</v>
      </c>
      <c r="F682" s="11">
        <f t="shared" si="127"/>
        <v>8437474.3000000007</v>
      </c>
      <c r="G682" s="11">
        <f t="shared" si="127"/>
        <v>8350163.1799999997</v>
      </c>
      <c r="H682" s="71">
        <f t="shared" si="121"/>
        <v>98.965198388811672</v>
      </c>
    </row>
    <row r="683" spans="1:8" outlineLevel="3">
      <c r="A683" s="9" t="s">
        <v>29</v>
      </c>
      <c r="B683" s="10" t="s">
        <v>171</v>
      </c>
      <c r="C683" s="10" t="s">
        <v>5</v>
      </c>
      <c r="D683" s="10" t="s">
        <v>460</v>
      </c>
      <c r="E683" s="10" t="s">
        <v>30</v>
      </c>
      <c r="F683" s="11">
        <f t="shared" si="127"/>
        <v>8437474.3000000007</v>
      </c>
      <c r="G683" s="11">
        <f t="shared" si="127"/>
        <v>8350163.1799999997</v>
      </c>
      <c r="H683" s="71">
        <f t="shared" si="121"/>
        <v>98.965198388811672</v>
      </c>
    </row>
    <row r="684" spans="1:8" outlineLevel="5">
      <c r="A684" s="9" t="s">
        <v>461</v>
      </c>
      <c r="B684" s="10" t="s">
        <v>171</v>
      </c>
      <c r="C684" s="10" t="s">
        <v>5</v>
      </c>
      <c r="D684" s="10" t="s">
        <v>460</v>
      </c>
      <c r="E684" s="10" t="s">
        <v>462</v>
      </c>
      <c r="F684" s="11">
        <f>5393352+3044122.3</f>
        <v>8437474.3000000007</v>
      </c>
      <c r="G684" s="72">
        <v>8350163.1799999997</v>
      </c>
      <c r="H684" s="71">
        <f t="shared" si="121"/>
        <v>98.965198388811672</v>
      </c>
    </row>
    <row r="685" spans="1:8" outlineLevel="5">
      <c r="A685" s="9" t="s">
        <v>463</v>
      </c>
      <c r="B685" s="10" t="s">
        <v>171</v>
      </c>
      <c r="C685" s="10" t="s">
        <v>22</v>
      </c>
      <c r="D685" s="10" t="s">
        <v>7</v>
      </c>
      <c r="E685" s="10" t="s">
        <v>8</v>
      </c>
      <c r="F685" s="17">
        <f>F686+F694+F698+F703</f>
        <v>11478164</v>
      </c>
      <c r="G685" s="17">
        <f>G686+G694+G698+G703</f>
        <v>11430000</v>
      </c>
      <c r="H685" s="71">
        <f t="shared" si="121"/>
        <v>99.580385852650295</v>
      </c>
    </row>
    <row r="686" spans="1:8" ht="31.5" outlineLevel="5">
      <c r="A686" s="9" t="s">
        <v>320</v>
      </c>
      <c r="B686" s="10" t="s">
        <v>171</v>
      </c>
      <c r="C686" s="10" t="s">
        <v>22</v>
      </c>
      <c r="D686" s="10" t="s">
        <v>321</v>
      </c>
      <c r="E686" s="10" t="s">
        <v>8</v>
      </c>
      <c r="F686" s="17">
        <f t="shared" ref="F686:G687" si="128">F687</f>
        <v>5225000</v>
      </c>
      <c r="G686" s="17">
        <f t="shared" si="128"/>
        <v>5225000</v>
      </c>
      <c r="H686" s="71">
        <f t="shared" si="121"/>
        <v>100</v>
      </c>
    </row>
    <row r="687" spans="1:8" outlineLevel="5">
      <c r="A687" s="47" t="s">
        <v>464</v>
      </c>
      <c r="B687" s="10" t="s">
        <v>171</v>
      </c>
      <c r="C687" s="10" t="s">
        <v>22</v>
      </c>
      <c r="D687" s="10" t="s">
        <v>465</v>
      </c>
      <c r="E687" s="10" t="s">
        <v>8</v>
      </c>
      <c r="F687" s="11">
        <f t="shared" si="128"/>
        <v>5225000</v>
      </c>
      <c r="G687" s="11">
        <f t="shared" si="128"/>
        <v>5225000</v>
      </c>
      <c r="H687" s="71">
        <f t="shared" si="121"/>
        <v>100</v>
      </c>
    </row>
    <row r="688" spans="1:8" ht="31.5" outlineLevel="5">
      <c r="A688" s="49" t="s">
        <v>466</v>
      </c>
      <c r="B688" s="10" t="s">
        <v>171</v>
      </c>
      <c r="C688" s="10" t="s">
        <v>22</v>
      </c>
      <c r="D688" s="50" t="s">
        <v>467</v>
      </c>
      <c r="E688" s="10" t="s">
        <v>8</v>
      </c>
      <c r="F688" s="11">
        <f>F689+F691</f>
        <v>5225000</v>
      </c>
      <c r="G688" s="11">
        <f>G689+G691</f>
        <v>5225000</v>
      </c>
      <c r="H688" s="71">
        <f t="shared" si="121"/>
        <v>100</v>
      </c>
    </row>
    <row r="689" spans="1:8" outlineLevel="5">
      <c r="A689" s="9" t="s">
        <v>29</v>
      </c>
      <c r="B689" s="10" t="s">
        <v>171</v>
      </c>
      <c r="C689" s="10" t="s">
        <v>22</v>
      </c>
      <c r="D689" s="50" t="s">
        <v>467</v>
      </c>
      <c r="E689" s="10" t="s">
        <v>30</v>
      </c>
      <c r="F689" s="17">
        <f>F690</f>
        <v>240716.77000000002</v>
      </c>
      <c r="G689" s="17">
        <f>G690</f>
        <v>240716.77000000002</v>
      </c>
      <c r="H689" s="71">
        <f t="shared" si="121"/>
        <v>100</v>
      </c>
    </row>
    <row r="690" spans="1:8" ht="31.5" outlineLevel="5">
      <c r="A690" s="9" t="s">
        <v>31</v>
      </c>
      <c r="B690" s="10" t="s">
        <v>171</v>
      </c>
      <c r="C690" s="10" t="s">
        <v>22</v>
      </c>
      <c r="D690" s="50" t="s">
        <v>467</v>
      </c>
      <c r="E690" s="10" t="s">
        <v>32</v>
      </c>
      <c r="F690" s="17">
        <f>4325000-4084283.23</f>
        <v>240716.77000000002</v>
      </c>
      <c r="G690" s="17">
        <f>4325000-4084283.23</f>
        <v>240716.77000000002</v>
      </c>
      <c r="H690" s="71">
        <f t="shared" si="121"/>
        <v>100</v>
      </c>
    </row>
    <row r="691" spans="1:8" ht="31.5" outlineLevel="5">
      <c r="A691" s="9" t="s">
        <v>327</v>
      </c>
      <c r="B691" s="10" t="s">
        <v>171</v>
      </c>
      <c r="C691" s="10" t="s">
        <v>22</v>
      </c>
      <c r="D691" s="50" t="s">
        <v>467</v>
      </c>
      <c r="E691" s="10" t="s">
        <v>328</v>
      </c>
      <c r="F691" s="17">
        <f>F692</f>
        <v>4984283.2300000004</v>
      </c>
      <c r="G691" s="17">
        <f>G692</f>
        <v>4984283.2300000004</v>
      </c>
      <c r="H691" s="71">
        <f t="shared" si="121"/>
        <v>100</v>
      </c>
    </row>
    <row r="692" spans="1:8" outlineLevel="5">
      <c r="A692" s="9" t="s">
        <v>329</v>
      </c>
      <c r="B692" s="10" t="s">
        <v>171</v>
      </c>
      <c r="C692" s="10" t="s">
        <v>22</v>
      </c>
      <c r="D692" s="50" t="s">
        <v>467</v>
      </c>
      <c r="E692" s="10" t="s">
        <v>330</v>
      </c>
      <c r="F692" s="17">
        <f>900000+4084283.23</f>
        <v>4984283.2300000004</v>
      </c>
      <c r="G692" s="17">
        <f>900000+4084283.23</f>
        <v>4984283.2300000004</v>
      </c>
      <c r="H692" s="71">
        <f t="shared" ref="H692:H750" si="129">G692/F692*100</f>
        <v>100</v>
      </c>
    </row>
    <row r="693" spans="1:8" ht="47.25" outlineLevel="5">
      <c r="A693" s="51" t="s">
        <v>72</v>
      </c>
      <c r="B693" s="29" t="s">
        <v>171</v>
      </c>
      <c r="C693" s="29" t="s">
        <v>22</v>
      </c>
      <c r="D693" s="29" t="s">
        <v>73</v>
      </c>
      <c r="E693" s="29" t="s">
        <v>8</v>
      </c>
      <c r="F693" s="52">
        <f t="shared" ref="F693:G696" si="130">F694</f>
        <v>2505000</v>
      </c>
      <c r="G693" s="52">
        <f t="shared" si="130"/>
        <v>2505000</v>
      </c>
      <c r="H693" s="71">
        <f t="shared" si="129"/>
        <v>100</v>
      </c>
    </row>
    <row r="694" spans="1:8" ht="63" outlineLevel="5">
      <c r="A694" s="28" t="s">
        <v>74</v>
      </c>
      <c r="B694" s="29" t="s">
        <v>171</v>
      </c>
      <c r="C694" s="29" t="s">
        <v>22</v>
      </c>
      <c r="D694" s="53" t="s">
        <v>75</v>
      </c>
      <c r="E694" s="29" t="s">
        <v>8</v>
      </c>
      <c r="F694" s="52">
        <f t="shared" si="130"/>
        <v>2505000</v>
      </c>
      <c r="G694" s="52">
        <f t="shared" si="130"/>
        <v>2505000</v>
      </c>
      <c r="H694" s="71">
        <f t="shared" si="129"/>
        <v>100</v>
      </c>
    </row>
    <row r="695" spans="1:8" ht="33" outlineLevel="5">
      <c r="A695" s="54" t="s">
        <v>468</v>
      </c>
      <c r="B695" s="29" t="s">
        <v>171</v>
      </c>
      <c r="C695" s="29" t="s">
        <v>22</v>
      </c>
      <c r="D695" s="53" t="s">
        <v>469</v>
      </c>
      <c r="E695" s="29" t="s">
        <v>8</v>
      </c>
      <c r="F695" s="52">
        <f t="shared" si="130"/>
        <v>2505000</v>
      </c>
      <c r="G695" s="52">
        <f t="shared" si="130"/>
        <v>2505000</v>
      </c>
      <c r="H695" s="71">
        <f t="shared" si="129"/>
        <v>100</v>
      </c>
    </row>
    <row r="696" spans="1:8" outlineLevel="5">
      <c r="A696" s="28" t="s">
        <v>29</v>
      </c>
      <c r="B696" s="29" t="s">
        <v>171</v>
      </c>
      <c r="C696" s="29" t="s">
        <v>22</v>
      </c>
      <c r="D696" s="53" t="s">
        <v>469</v>
      </c>
      <c r="E696" s="29" t="s">
        <v>30</v>
      </c>
      <c r="F696" s="52">
        <f t="shared" si="130"/>
        <v>2505000</v>
      </c>
      <c r="G696" s="52">
        <f t="shared" si="130"/>
        <v>2505000</v>
      </c>
      <c r="H696" s="71">
        <f t="shared" si="129"/>
        <v>100</v>
      </c>
    </row>
    <row r="697" spans="1:8" ht="31.5" outlineLevel="5">
      <c r="A697" s="32" t="s">
        <v>31</v>
      </c>
      <c r="B697" s="33" t="s">
        <v>171</v>
      </c>
      <c r="C697" s="33" t="s">
        <v>22</v>
      </c>
      <c r="D697" s="55" t="s">
        <v>469</v>
      </c>
      <c r="E697" s="33" t="s">
        <v>32</v>
      </c>
      <c r="F697" s="56">
        <v>2505000</v>
      </c>
      <c r="G697" s="72">
        <v>2505000</v>
      </c>
      <c r="H697" s="71">
        <f t="shared" si="129"/>
        <v>100</v>
      </c>
    </row>
    <row r="698" spans="1:8" ht="63" outlineLevel="5">
      <c r="A698" s="9" t="s">
        <v>261</v>
      </c>
      <c r="B698" s="10" t="s">
        <v>171</v>
      </c>
      <c r="C698" s="10" t="s">
        <v>22</v>
      </c>
      <c r="D698" s="10" t="s">
        <v>262</v>
      </c>
      <c r="E698" s="10" t="s">
        <v>8</v>
      </c>
      <c r="F698" s="17">
        <f t="shared" ref="F698:G701" si="131">F699</f>
        <v>48164</v>
      </c>
      <c r="G698" s="17">
        <f t="shared" si="131"/>
        <v>0</v>
      </c>
      <c r="H698" s="71">
        <f t="shared" si="129"/>
        <v>0</v>
      </c>
    </row>
    <row r="699" spans="1:8" ht="63" outlineLevel="5">
      <c r="A699" s="9" t="s">
        <v>263</v>
      </c>
      <c r="B699" s="10" t="s">
        <v>171</v>
      </c>
      <c r="C699" s="10" t="s">
        <v>22</v>
      </c>
      <c r="D699" s="10" t="s">
        <v>264</v>
      </c>
      <c r="E699" s="10" t="s">
        <v>8</v>
      </c>
      <c r="F699" s="17">
        <f t="shared" si="131"/>
        <v>48164</v>
      </c>
      <c r="G699" s="17">
        <f t="shared" si="131"/>
        <v>0</v>
      </c>
      <c r="H699" s="71">
        <f t="shared" si="129"/>
        <v>0</v>
      </c>
    </row>
    <row r="700" spans="1:8" ht="141.75" outlineLevel="5">
      <c r="A700" s="9" t="s">
        <v>470</v>
      </c>
      <c r="B700" s="10" t="s">
        <v>171</v>
      </c>
      <c r="C700" s="10" t="s">
        <v>22</v>
      </c>
      <c r="D700" s="50" t="s">
        <v>471</v>
      </c>
      <c r="E700" s="10" t="s">
        <v>8</v>
      </c>
      <c r="F700" s="17">
        <f t="shared" si="131"/>
        <v>48164</v>
      </c>
      <c r="G700" s="17">
        <f t="shared" si="131"/>
        <v>0</v>
      </c>
      <c r="H700" s="71">
        <f t="shared" si="129"/>
        <v>0</v>
      </c>
    </row>
    <row r="701" spans="1:8" outlineLevel="5">
      <c r="A701" s="9" t="s">
        <v>35</v>
      </c>
      <c r="B701" s="10" t="s">
        <v>171</v>
      </c>
      <c r="C701" s="10" t="s">
        <v>22</v>
      </c>
      <c r="D701" s="50" t="s">
        <v>471</v>
      </c>
      <c r="E701" s="10" t="s">
        <v>36</v>
      </c>
      <c r="F701" s="17">
        <f t="shared" si="131"/>
        <v>48164</v>
      </c>
      <c r="G701" s="17">
        <f t="shared" si="131"/>
        <v>0</v>
      </c>
      <c r="H701" s="71">
        <f t="shared" si="129"/>
        <v>0</v>
      </c>
    </row>
    <row r="702" spans="1:8" ht="47.25" outlineLevel="5">
      <c r="A702" s="9" t="s">
        <v>182</v>
      </c>
      <c r="B702" s="10" t="s">
        <v>171</v>
      </c>
      <c r="C702" s="10" t="s">
        <v>22</v>
      </c>
      <c r="D702" s="50" t="s">
        <v>471</v>
      </c>
      <c r="E702" s="10" t="s">
        <v>183</v>
      </c>
      <c r="F702" s="17">
        <v>48164</v>
      </c>
      <c r="G702" s="17">
        <v>0</v>
      </c>
      <c r="H702" s="71">
        <f t="shared" si="129"/>
        <v>0</v>
      </c>
    </row>
    <row r="703" spans="1:8" ht="31.5" outlineLevel="5">
      <c r="A703" s="9" t="s">
        <v>11</v>
      </c>
      <c r="B703" s="10" t="s">
        <v>171</v>
      </c>
      <c r="C703" s="10" t="s">
        <v>22</v>
      </c>
      <c r="D703" s="10" t="s">
        <v>12</v>
      </c>
      <c r="E703" s="10" t="s">
        <v>8</v>
      </c>
      <c r="F703" s="11">
        <f t="shared" ref="F703:G706" si="132">F704</f>
        <v>3700000</v>
      </c>
      <c r="G703" s="11">
        <f t="shared" si="132"/>
        <v>3700000</v>
      </c>
      <c r="H703" s="71">
        <f t="shared" si="129"/>
        <v>100</v>
      </c>
    </row>
    <row r="704" spans="1:8" ht="31.5" outlineLevel="5">
      <c r="A704" s="9" t="s">
        <v>13</v>
      </c>
      <c r="B704" s="10" t="s">
        <v>171</v>
      </c>
      <c r="C704" s="10" t="s">
        <v>22</v>
      </c>
      <c r="D704" s="10" t="s">
        <v>14</v>
      </c>
      <c r="E704" s="10" t="s">
        <v>8</v>
      </c>
      <c r="F704" s="11">
        <f t="shared" si="132"/>
        <v>3700000</v>
      </c>
      <c r="G704" s="11">
        <f t="shared" si="132"/>
        <v>3700000</v>
      </c>
      <c r="H704" s="71">
        <f t="shared" si="129"/>
        <v>100</v>
      </c>
    </row>
    <row r="705" spans="1:8" ht="47.25" outlineLevel="5">
      <c r="A705" s="9" t="s">
        <v>472</v>
      </c>
      <c r="B705" s="10" t="s">
        <v>171</v>
      </c>
      <c r="C705" s="10" t="s">
        <v>22</v>
      </c>
      <c r="D705" s="10" t="s">
        <v>473</v>
      </c>
      <c r="E705" s="10" t="s">
        <v>8</v>
      </c>
      <c r="F705" s="11">
        <f t="shared" si="132"/>
        <v>3700000</v>
      </c>
      <c r="G705" s="11">
        <f t="shared" si="132"/>
        <v>3700000</v>
      </c>
      <c r="H705" s="71">
        <f t="shared" si="129"/>
        <v>100</v>
      </c>
    </row>
    <row r="706" spans="1:8" outlineLevel="5">
      <c r="A706" s="9" t="s">
        <v>29</v>
      </c>
      <c r="B706" s="10" t="s">
        <v>171</v>
      </c>
      <c r="C706" s="10" t="s">
        <v>22</v>
      </c>
      <c r="D706" s="10" t="s">
        <v>473</v>
      </c>
      <c r="E706" s="10" t="s">
        <v>30</v>
      </c>
      <c r="F706" s="11">
        <f t="shared" si="132"/>
        <v>3700000</v>
      </c>
      <c r="G706" s="11">
        <f t="shared" si="132"/>
        <v>3700000</v>
      </c>
      <c r="H706" s="71">
        <f t="shared" si="129"/>
        <v>100</v>
      </c>
    </row>
    <row r="707" spans="1:8" ht="31.5" outlineLevel="5">
      <c r="A707" s="12" t="s">
        <v>31</v>
      </c>
      <c r="B707" s="13" t="s">
        <v>171</v>
      </c>
      <c r="C707" s="13" t="s">
        <v>22</v>
      </c>
      <c r="D707" s="13" t="s">
        <v>473</v>
      </c>
      <c r="E707" s="13" t="s">
        <v>32</v>
      </c>
      <c r="F707" s="14">
        <v>3700000</v>
      </c>
      <c r="G707" s="14">
        <v>3700000</v>
      </c>
      <c r="H707" s="71">
        <f t="shared" si="129"/>
        <v>100</v>
      </c>
    </row>
    <row r="708" spans="1:8" outlineLevel="5">
      <c r="A708" s="9" t="s">
        <v>474</v>
      </c>
      <c r="B708" s="10" t="s">
        <v>171</v>
      </c>
      <c r="C708" s="10" t="s">
        <v>42</v>
      </c>
      <c r="D708" s="10" t="s">
        <v>7</v>
      </c>
      <c r="E708" s="10" t="s">
        <v>8</v>
      </c>
      <c r="F708" s="11">
        <f>F709+F714+F719+F731</f>
        <v>87901850.909999996</v>
      </c>
      <c r="G708" s="11">
        <f>G709+G714+G719+G731</f>
        <v>86480199.219999999</v>
      </c>
      <c r="H708" s="71">
        <f t="shared" si="129"/>
        <v>98.382682872678544</v>
      </c>
    </row>
    <row r="709" spans="1:8" ht="31.5" outlineLevel="5">
      <c r="A709" s="9" t="s">
        <v>320</v>
      </c>
      <c r="B709" s="10" t="s">
        <v>171</v>
      </c>
      <c r="C709" s="10" t="s">
        <v>42</v>
      </c>
      <c r="D709" s="10" t="s">
        <v>321</v>
      </c>
      <c r="E709" s="10" t="s">
        <v>8</v>
      </c>
      <c r="F709" s="11">
        <f t="shared" ref="F709:G712" si="133">F710</f>
        <v>3754881</v>
      </c>
      <c r="G709" s="11">
        <f t="shared" si="133"/>
        <v>3754881</v>
      </c>
      <c r="H709" s="71">
        <f t="shared" si="129"/>
        <v>100</v>
      </c>
    </row>
    <row r="710" spans="1:8" ht="31.5" outlineLevel="5">
      <c r="A710" s="9" t="s">
        <v>427</v>
      </c>
      <c r="B710" s="10" t="s">
        <v>171</v>
      </c>
      <c r="C710" s="10" t="s">
        <v>42</v>
      </c>
      <c r="D710" s="10" t="s">
        <v>428</v>
      </c>
      <c r="E710" s="10" t="s">
        <v>8</v>
      </c>
      <c r="F710" s="11">
        <f t="shared" si="133"/>
        <v>3754881</v>
      </c>
      <c r="G710" s="11">
        <f t="shared" si="133"/>
        <v>3754881</v>
      </c>
      <c r="H710" s="71">
        <f t="shared" si="129"/>
        <v>100</v>
      </c>
    </row>
    <row r="711" spans="1:8" ht="78.75" outlineLevel="5">
      <c r="A711" s="9" t="s">
        <v>475</v>
      </c>
      <c r="B711" s="10" t="s">
        <v>171</v>
      </c>
      <c r="C711" s="10" t="s">
        <v>42</v>
      </c>
      <c r="D711" s="10" t="s">
        <v>476</v>
      </c>
      <c r="E711" s="10" t="s">
        <v>8</v>
      </c>
      <c r="F711" s="11">
        <f t="shared" si="133"/>
        <v>3754881</v>
      </c>
      <c r="G711" s="11">
        <f t="shared" si="133"/>
        <v>3754881</v>
      </c>
      <c r="H711" s="71">
        <f t="shared" si="129"/>
        <v>100</v>
      </c>
    </row>
    <row r="712" spans="1:8" outlineLevel="5">
      <c r="A712" s="9" t="s">
        <v>29</v>
      </c>
      <c r="B712" s="10" t="s">
        <v>171</v>
      </c>
      <c r="C712" s="10" t="s">
        <v>42</v>
      </c>
      <c r="D712" s="10" t="s">
        <v>476</v>
      </c>
      <c r="E712" s="10" t="s">
        <v>30</v>
      </c>
      <c r="F712" s="11">
        <f t="shared" si="133"/>
        <v>3754881</v>
      </c>
      <c r="G712" s="11">
        <f t="shared" si="133"/>
        <v>3754881</v>
      </c>
      <c r="H712" s="71">
        <f t="shared" si="129"/>
        <v>100</v>
      </c>
    </row>
    <row r="713" spans="1:8" outlineLevel="5">
      <c r="A713" s="9" t="s">
        <v>461</v>
      </c>
      <c r="B713" s="10" t="s">
        <v>171</v>
      </c>
      <c r="C713" s="10" t="s">
        <v>42</v>
      </c>
      <c r="D713" s="10" t="s">
        <v>476</v>
      </c>
      <c r="E713" s="10" t="s">
        <v>462</v>
      </c>
      <c r="F713" s="11">
        <v>3754881</v>
      </c>
      <c r="G713" s="72">
        <v>3754881</v>
      </c>
      <c r="H713" s="71">
        <f t="shared" si="129"/>
        <v>100</v>
      </c>
    </row>
    <row r="714" spans="1:8" ht="31.5" outlineLevel="5">
      <c r="A714" s="9" t="s">
        <v>477</v>
      </c>
      <c r="B714" s="10" t="s">
        <v>171</v>
      </c>
      <c r="C714" s="10" t="s">
        <v>42</v>
      </c>
      <c r="D714" s="10" t="s">
        <v>478</v>
      </c>
      <c r="E714" s="10" t="s">
        <v>8</v>
      </c>
      <c r="F714" s="17">
        <f t="shared" ref="F714:G717" si="134">F715</f>
        <v>8160598</v>
      </c>
      <c r="G714" s="17">
        <f t="shared" si="134"/>
        <v>8060598</v>
      </c>
      <c r="H714" s="71">
        <f t="shared" si="129"/>
        <v>98.774599606548435</v>
      </c>
    </row>
    <row r="715" spans="1:8" ht="47.25" outlineLevel="5">
      <c r="A715" s="9" t="s">
        <v>479</v>
      </c>
      <c r="B715" s="10" t="s">
        <v>171</v>
      </c>
      <c r="C715" s="10" t="s">
        <v>42</v>
      </c>
      <c r="D715" s="10" t="s">
        <v>480</v>
      </c>
      <c r="E715" s="10" t="s">
        <v>8</v>
      </c>
      <c r="F715" s="17">
        <f t="shared" si="134"/>
        <v>8160598</v>
      </c>
      <c r="G715" s="17">
        <f t="shared" si="134"/>
        <v>8060598</v>
      </c>
      <c r="H715" s="71">
        <f t="shared" si="129"/>
        <v>98.774599606548435</v>
      </c>
    </row>
    <row r="716" spans="1:8" ht="31.5" outlineLevel="5">
      <c r="A716" s="9" t="s">
        <v>481</v>
      </c>
      <c r="B716" s="10" t="s">
        <v>171</v>
      </c>
      <c r="C716" s="10" t="s">
        <v>42</v>
      </c>
      <c r="D716" s="57" t="s">
        <v>482</v>
      </c>
      <c r="E716" s="10" t="s">
        <v>8</v>
      </c>
      <c r="F716" s="17">
        <f t="shared" si="134"/>
        <v>8160598</v>
      </c>
      <c r="G716" s="17">
        <f t="shared" si="134"/>
        <v>8060598</v>
      </c>
      <c r="H716" s="71">
        <f t="shared" si="129"/>
        <v>98.774599606548435</v>
      </c>
    </row>
    <row r="717" spans="1:8" outlineLevel="5">
      <c r="A717" s="9" t="s">
        <v>29</v>
      </c>
      <c r="B717" s="10" t="s">
        <v>171</v>
      </c>
      <c r="C717" s="10" t="s">
        <v>42</v>
      </c>
      <c r="D717" s="57" t="s">
        <v>482</v>
      </c>
      <c r="E717" s="10" t="s">
        <v>30</v>
      </c>
      <c r="F717" s="17">
        <f t="shared" si="134"/>
        <v>8160598</v>
      </c>
      <c r="G717" s="17">
        <f t="shared" si="134"/>
        <v>8060598</v>
      </c>
      <c r="H717" s="71">
        <f t="shared" si="129"/>
        <v>98.774599606548435</v>
      </c>
    </row>
    <row r="718" spans="1:8" ht="31.5" outlineLevel="5">
      <c r="A718" s="9" t="s">
        <v>31</v>
      </c>
      <c r="B718" s="10" t="s">
        <v>171</v>
      </c>
      <c r="C718" s="10" t="s">
        <v>42</v>
      </c>
      <c r="D718" s="57" t="s">
        <v>482</v>
      </c>
      <c r="E718" s="10" t="s">
        <v>32</v>
      </c>
      <c r="F718" s="17">
        <f>1500000+6039783.34+1096571.66-475757</f>
        <v>8160598</v>
      </c>
      <c r="G718" s="72">
        <v>8060598</v>
      </c>
      <c r="H718" s="71">
        <f t="shared" si="129"/>
        <v>98.774599606548435</v>
      </c>
    </row>
    <row r="719" spans="1:8" ht="78.75" outlineLevel="5">
      <c r="A719" s="21" t="s">
        <v>128</v>
      </c>
      <c r="B719" s="10" t="s">
        <v>171</v>
      </c>
      <c r="C719" s="10" t="s">
        <v>42</v>
      </c>
      <c r="D719" s="10" t="s">
        <v>129</v>
      </c>
      <c r="E719" s="10" t="s">
        <v>8</v>
      </c>
      <c r="F719" s="11">
        <f>F720</f>
        <v>45021604.710000001</v>
      </c>
      <c r="G719" s="11">
        <f>G720</f>
        <v>45015113.200000003</v>
      </c>
      <c r="H719" s="71">
        <f t="shared" si="129"/>
        <v>99.985581344685926</v>
      </c>
    </row>
    <row r="720" spans="1:8" ht="78.75" outlineLevel="5">
      <c r="A720" s="21" t="s">
        <v>130</v>
      </c>
      <c r="B720" s="10" t="s">
        <v>171</v>
      </c>
      <c r="C720" s="10" t="s">
        <v>42</v>
      </c>
      <c r="D720" s="10" t="s">
        <v>131</v>
      </c>
      <c r="E720" s="10" t="s">
        <v>8</v>
      </c>
      <c r="F720" s="11">
        <f>F721+F728</f>
        <v>45021604.710000001</v>
      </c>
      <c r="G720" s="11">
        <f>G721+G728</f>
        <v>45015113.200000003</v>
      </c>
      <c r="H720" s="71">
        <f t="shared" si="129"/>
        <v>99.985581344685926</v>
      </c>
    </row>
    <row r="721" spans="1:8" ht="47.25" outlineLevel="5">
      <c r="A721" s="21" t="s">
        <v>132</v>
      </c>
      <c r="B721" s="10" t="s">
        <v>171</v>
      </c>
      <c r="C721" s="10" t="s">
        <v>42</v>
      </c>
      <c r="D721" s="10" t="s">
        <v>133</v>
      </c>
      <c r="E721" s="10" t="s">
        <v>8</v>
      </c>
      <c r="F721" s="11">
        <f>F722+F724+F726</f>
        <v>23125654.710000001</v>
      </c>
      <c r="G721" s="11">
        <f>G722+G724+G726</f>
        <v>23119163.199999999</v>
      </c>
      <c r="H721" s="71">
        <f t="shared" si="129"/>
        <v>99.971929400134158</v>
      </c>
    </row>
    <row r="722" spans="1:8" ht="31.5" outlineLevel="5">
      <c r="A722" s="9" t="s">
        <v>25</v>
      </c>
      <c r="B722" s="10" t="s">
        <v>171</v>
      </c>
      <c r="C722" s="10" t="s">
        <v>42</v>
      </c>
      <c r="D722" s="10" t="s">
        <v>133</v>
      </c>
      <c r="E722" s="10" t="s">
        <v>26</v>
      </c>
      <c r="F722" s="11">
        <f>F723</f>
        <v>254466.70999999985</v>
      </c>
      <c r="G722" s="11">
        <f>G723</f>
        <v>247975.2</v>
      </c>
      <c r="H722" s="71">
        <f t="shared" si="129"/>
        <v>97.448974759802638</v>
      </c>
    </row>
    <row r="723" spans="1:8" ht="31.5" outlineLevel="5">
      <c r="A723" s="12" t="s">
        <v>27</v>
      </c>
      <c r="B723" s="13" t="s">
        <v>171</v>
      </c>
      <c r="C723" s="13" t="s">
        <v>42</v>
      </c>
      <c r="D723" s="13" t="s">
        <v>133</v>
      </c>
      <c r="E723" s="13" t="s">
        <v>28</v>
      </c>
      <c r="F723" s="14">
        <f>1248814.42-0.6-516530.25-477816.86</f>
        <v>254466.70999999985</v>
      </c>
      <c r="G723" s="72">
        <v>247975.2</v>
      </c>
      <c r="H723" s="71">
        <f t="shared" si="129"/>
        <v>97.448974759802638</v>
      </c>
    </row>
    <row r="724" spans="1:8" outlineLevel="5">
      <c r="A724" s="9" t="s">
        <v>29</v>
      </c>
      <c r="B724" s="10" t="s">
        <v>171</v>
      </c>
      <c r="C724" s="10" t="s">
        <v>42</v>
      </c>
      <c r="D724" s="10" t="s">
        <v>133</v>
      </c>
      <c r="E724" s="10" t="s">
        <v>30</v>
      </c>
      <c r="F724" s="11">
        <f>F725</f>
        <v>3421188.0000000005</v>
      </c>
      <c r="G724" s="11">
        <f>G725</f>
        <v>3421188.0000000005</v>
      </c>
      <c r="H724" s="71">
        <f t="shared" si="129"/>
        <v>100</v>
      </c>
    </row>
    <row r="725" spans="1:8" ht="31.5" outlineLevel="5">
      <c r="A725" s="9" t="s">
        <v>31</v>
      </c>
      <c r="B725" s="10" t="s">
        <v>171</v>
      </c>
      <c r="C725" s="10" t="s">
        <v>42</v>
      </c>
      <c r="D725" s="10" t="s">
        <v>133</v>
      </c>
      <c r="E725" s="10" t="s">
        <v>32</v>
      </c>
      <c r="F725" s="11">
        <f>6842376+1.4-3421189.4</f>
        <v>3421188.0000000005</v>
      </c>
      <c r="G725" s="11">
        <f>6842376+1.4-3421189.4</f>
        <v>3421188.0000000005</v>
      </c>
      <c r="H725" s="71">
        <f t="shared" si="129"/>
        <v>100</v>
      </c>
    </row>
    <row r="726" spans="1:8" ht="31.5" outlineLevel="5">
      <c r="A726" s="9" t="s">
        <v>205</v>
      </c>
      <c r="B726" s="10" t="s">
        <v>171</v>
      </c>
      <c r="C726" s="10" t="s">
        <v>42</v>
      </c>
      <c r="D726" s="10" t="s">
        <v>133</v>
      </c>
      <c r="E726" s="10" t="s">
        <v>206</v>
      </c>
      <c r="F726" s="11">
        <f>F727</f>
        <v>19450000</v>
      </c>
      <c r="G726" s="11">
        <f>G727</f>
        <v>19450000</v>
      </c>
      <c r="H726" s="71">
        <f t="shared" si="129"/>
        <v>100</v>
      </c>
    </row>
    <row r="727" spans="1:8" outlineLevel="5">
      <c r="A727" s="40" t="s">
        <v>207</v>
      </c>
      <c r="B727" s="10" t="s">
        <v>171</v>
      </c>
      <c r="C727" s="10" t="s">
        <v>42</v>
      </c>
      <c r="D727" s="10" t="s">
        <v>133</v>
      </c>
      <c r="E727" s="10" t="s">
        <v>208</v>
      </c>
      <c r="F727" s="11">
        <f>18067200-2038390+3421190</f>
        <v>19450000</v>
      </c>
      <c r="G727" s="11">
        <f>18067200-2038390+3421190</f>
        <v>19450000</v>
      </c>
      <c r="H727" s="71">
        <f t="shared" si="129"/>
        <v>100</v>
      </c>
    </row>
    <row r="728" spans="1:8" ht="47.25" outlineLevel="5">
      <c r="A728" s="21" t="s">
        <v>483</v>
      </c>
      <c r="B728" s="10" t="s">
        <v>171</v>
      </c>
      <c r="C728" s="10" t="s">
        <v>42</v>
      </c>
      <c r="D728" s="10" t="s">
        <v>484</v>
      </c>
      <c r="E728" s="10" t="s">
        <v>8</v>
      </c>
      <c r="F728" s="11">
        <f t="shared" ref="F728:G729" si="135">F729</f>
        <v>21895950</v>
      </c>
      <c r="G728" s="11">
        <f t="shared" si="135"/>
        <v>21895950</v>
      </c>
      <c r="H728" s="71">
        <f t="shared" si="129"/>
        <v>100</v>
      </c>
    </row>
    <row r="729" spans="1:8" ht="31.5" outlineLevel="5">
      <c r="A729" s="9" t="s">
        <v>205</v>
      </c>
      <c r="B729" s="10" t="s">
        <v>171</v>
      </c>
      <c r="C729" s="10" t="s">
        <v>42</v>
      </c>
      <c r="D729" s="10" t="s">
        <v>484</v>
      </c>
      <c r="E729" s="10" t="s">
        <v>206</v>
      </c>
      <c r="F729" s="11">
        <f t="shared" si="135"/>
        <v>21895950</v>
      </c>
      <c r="G729" s="11">
        <f t="shared" si="135"/>
        <v>21895950</v>
      </c>
      <c r="H729" s="71">
        <f t="shared" si="129"/>
        <v>100</v>
      </c>
    </row>
    <row r="730" spans="1:8" outlineLevel="5">
      <c r="A730" s="40" t="s">
        <v>207</v>
      </c>
      <c r="B730" s="10" t="s">
        <v>171</v>
      </c>
      <c r="C730" s="10" t="s">
        <v>42</v>
      </c>
      <c r="D730" s="10" t="s">
        <v>484</v>
      </c>
      <c r="E730" s="10" t="s">
        <v>208</v>
      </c>
      <c r="F730" s="11">
        <f>27242460-141660-5204850</f>
        <v>21895950</v>
      </c>
      <c r="G730" s="11">
        <f>27242460-141660-5204850</f>
        <v>21895950</v>
      </c>
      <c r="H730" s="71">
        <f t="shared" si="129"/>
        <v>100</v>
      </c>
    </row>
    <row r="731" spans="1:8" ht="31.5" outlineLevel="5">
      <c r="A731" s="9" t="s">
        <v>11</v>
      </c>
      <c r="B731" s="10" t="s">
        <v>171</v>
      </c>
      <c r="C731" s="10" t="s">
        <v>42</v>
      </c>
      <c r="D731" s="10" t="s">
        <v>12</v>
      </c>
      <c r="E731" s="10" t="s">
        <v>8</v>
      </c>
      <c r="F731" s="11">
        <f t="shared" ref="F731:G734" si="136">F732</f>
        <v>30964767.199999999</v>
      </c>
      <c r="G731" s="11">
        <f t="shared" si="136"/>
        <v>29649607.02</v>
      </c>
      <c r="H731" s="71">
        <f t="shared" si="129"/>
        <v>95.752720595296452</v>
      </c>
    </row>
    <row r="732" spans="1:8" ht="31.5" outlineLevel="5">
      <c r="A732" s="9" t="s">
        <v>13</v>
      </c>
      <c r="B732" s="10" t="s">
        <v>171</v>
      </c>
      <c r="C732" s="10" t="s">
        <v>42</v>
      </c>
      <c r="D732" s="10" t="s">
        <v>14</v>
      </c>
      <c r="E732" s="10" t="s">
        <v>8</v>
      </c>
      <c r="F732" s="11">
        <f t="shared" si="136"/>
        <v>30964767.199999999</v>
      </c>
      <c r="G732" s="11">
        <f t="shared" si="136"/>
        <v>29649607.02</v>
      </c>
      <c r="H732" s="71">
        <f t="shared" si="129"/>
        <v>95.752720595296452</v>
      </c>
    </row>
    <row r="733" spans="1:8" ht="47.25" outlineLevel="5">
      <c r="A733" s="25" t="s">
        <v>485</v>
      </c>
      <c r="B733" s="10" t="s">
        <v>171</v>
      </c>
      <c r="C733" s="10" t="s">
        <v>42</v>
      </c>
      <c r="D733" s="10" t="s">
        <v>486</v>
      </c>
      <c r="E733" s="10" t="s">
        <v>8</v>
      </c>
      <c r="F733" s="11">
        <f t="shared" si="136"/>
        <v>30964767.199999999</v>
      </c>
      <c r="G733" s="11">
        <f t="shared" si="136"/>
        <v>29649607.02</v>
      </c>
      <c r="H733" s="71">
        <f t="shared" si="129"/>
        <v>95.752720595296452</v>
      </c>
    </row>
    <row r="734" spans="1:8" outlineLevel="5">
      <c r="A734" s="9" t="s">
        <v>29</v>
      </c>
      <c r="B734" s="10" t="s">
        <v>171</v>
      </c>
      <c r="C734" s="10" t="s">
        <v>42</v>
      </c>
      <c r="D734" s="10" t="s">
        <v>486</v>
      </c>
      <c r="E734" s="10" t="s">
        <v>30</v>
      </c>
      <c r="F734" s="11">
        <f t="shared" si="136"/>
        <v>30964767.199999999</v>
      </c>
      <c r="G734" s="11">
        <f t="shared" si="136"/>
        <v>29649607.02</v>
      </c>
      <c r="H734" s="71">
        <f t="shared" si="129"/>
        <v>95.752720595296452</v>
      </c>
    </row>
    <row r="735" spans="1:8" outlineLevel="5">
      <c r="A735" s="9" t="s">
        <v>461</v>
      </c>
      <c r="B735" s="10" t="s">
        <v>171</v>
      </c>
      <c r="C735" s="10" t="s">
        <v>42</v>
      </c>
      <c r="D735" s="10" t="s">
        <v>486</v>
      </c>
      <c r="E735" s="10" t="s">
        <v>462</v>
      </c>
      <c r="F735" s="11">
        <v>30964767.199999999</v>
      </c>
      <c r="G735" s="72">
        <v>29649607.02</v>
      </c>
      <c r="H735" s="71">
        <f t="shared" si="129"/>
        <v>95.752720595296452</v>
      </c>
    </row>
    <row r="736" spans="1:8" outlineLevel="5">
      <c r="A736" s="9" t="s">
        <v>487</v>
      </c>
      <c r="B736" s="10" t="s">
        <v>171</v>
      </c>
      <c r="C736" s="10" t="s">
        <v>48</v>
      </c>
      <c r="D736" s="10" t="s">
        <v>7</v>
      </c>
      <c r="E736" s="10" t="s">
        <v>8</v>
      </c>
      <c r="F736" s="11">
        <f>F737+F747</f>
        <v>1398612</v>
      </c>
      <c r="G736" s="11">
        <f>G737+G747</f>
        <v>1398612</v>
      </c>
      <c r="H736" s="71">
        <f t="shared" si="129"/>
        <v>100</v>
      </c>
    </row>
    <row r="737" spans="1:8" ht="47.25" outlineLevel="5">
      <c r="A737" s="9" t="s">
        <v>65</v>
      </c>
      <c r="B737" s="10" t="s">
        <v>171</v>
      </c>
      <c r="C737" s="10" t="s">
        <v>48</v>
      </c>
      <c r="D737" s="10" t="s">
        <v>66</v>
      </c>
      <c r="E737" s="10" t="s">
        <v>8</v>
      </c>
      <c r="F737" s="11">
        <f>F738</f>
        <v>634000</v>
      </c>
      <c r="G737" s="11">
        <f>G738</f>
        <v>634000</v>
      </c>
      <c r="H737" s="71">
        <f t="shared" si="129"/>
        <v>100</v>
      </c>
    </row>
    <row r="738" spans="1:8" ht="47.25" outlineLevel="5">
      <c r="A738" s="9" t="s">
        <v>67</v>
      </c>
      <c r="B738" s="10" t="s">
        <v>171</v>
      </c>
      <c r="C738" s="10" t="s">
        <v>48</v>
      </c>
      <c r="D738" s="10" t="s">
        <v>68</v>
      </c>
      <c r="E738" s="10" t="s">
        <v>8</v>
      </c>
      <c r="F738" s="11">
        <f>F739+F742</f>
        <v>634000</v>
      </c>
      <c r="G738" s="11">
        <f>G739+G742</f>
        <v>634000</v>
      </c>
      <c r="H738" s="71">
        <f t="shared" si="129"/>
        <v>100</v>
      </c>
    </row>
    <row r="739" spans="1:8" ht="31.5" outlineLevel="5">
      <c r="A739" s="9" t="s">
        <v>488</v>
      </c>
      <c r="B739" s="10" t="s">
        <v>171</v>
      </c>
      <c r="C739" s="10" t="s">
        <v>48</v>
      </c>
      <c r="D739" s="10" t="s">
        <v>489</v>
      </c>
      <c r="E739" s="10" t="s">
        <v>8</v>
      </c>
      <c r="F739" s="11">
        <f t="shared" ref="F739:G740" si="137">F740</f>
        <v>250000</v>
      </c>
      <c r="G739" s="11">
        <f t="shared" si="137"/>
        <v>250000</v>
      </c>
      <c r="H739" s="71">
        <f t="shared" si="129"/>
        <v>100</v>
      </c>
    </row>
    <row r="740" spans="1:8" ht="31.5" outlineLevel="5">
      <c r="A740" s="9" t="s">
        <v>327</v>
      </c>
      <c r="B740" s="10" t="s">
        <v>171</v>
      </c>
      <c r="C740" s="10" t="s">
        <v>48</v>
      </c>
      <c r="D740" s="10" t="s">
        <v>489</v>
      </c>
      <c r="E740" s="10" t="s">
        <v>328</v>
      </c>
      <c r="F740" s="11">
        <f t="shared" si="137"/>
        <v>250000</v>
      </c>
      <c r="G740" s="11">
        <f t="shared" si="137"/>
        <v>250000</v>
      </c>
      <c r="H740" s="71">
        <f t="shared" si="129"/>
        <v>100</v>
      </c>
    </row>
    <row r="741" spans="1:8" ht="47.25" outlineLevel="5">
      <c r="A741" s="9" t="s">
        <v>490</v>
      </c>
      <c r="B741" s="10" t="s">
        <v>171</v>
      </c>
      <c r="C741" s="10" t="s">
        <v>48</v>
      </c>
      <c r="D741" s="10" t="s">
        <v>489</v>
      </c>
      <c r="E741" s="10" t="s">
        <v>491</v>
      </c>
      <c r="F741" s="11">
        <v>250000</v>
      </c>
      <c r="G741" s="11">
        <v>250000</v>
      </c>
      <c r="H741" s="71">
        <f t="shared" si="129"/>
        <v>100</v>
      </c>
    </row>
    <row r="742" spans="1:8" outlineLevel="5">
      <c r="A742" s="9" t="s">
        <v>69</v>
      </c>
      <c r="B742" s="10" t="s">
        <v>171</v>
      </c>
      <c r="C742" s="10" t="s">
        <v>48</v>
      </c>
      <c r="D742" s="10" t="s">
        <v>70</v>
      </c>
      <c r="E742" s="10" t="s">
        <v>8</v>
      </c>
      <c r="F742" s="17">
        <f>F743+F746</f>
        <v>384000</v>
      </c>
      <c r="G742" s="17">
        <f>G743+G746</f>
        <v>384000</v>
      </c>
      <c r="H742" s="71">
        <f t="shared" si="129"/>
        <v>100</v>
      </c>
    </row>
    <row r="743" spans="1:8" ht="31.5" outlineLevel="5">
      <c r="A743" s="9" t="s">
        <v>25</v>
      </c>
      <c r="B743" s="10" t="s">
        <v>171</v>
      </c>
      <c r="C743" s="10" t="s">
        <v>48</v>
      </c>
      <c r="D743" s="10" t="s">
        <v>70</v>
      </c>
      <c r="E743" s="10" t="s">
        <v>26</v>
      </c>
      <c r="F743" s="17">
        <f>F744</f>
        <v>300000</v>
      </c>
      <c r="G743" s="17">
        <f>G744</f>
        <v>300000</v>
      </c>
      <c r="H743" s="71">
        <f t="shared" si="129"/>
        <v>100</v>
      </c>
    </row>
    <row r="744" spans="1:8" ht="31.5" outlineLevel="5">
      <c r="A744" s="9" t="s">
        <v>27</v>
      </c>
      <c r="B744" s="10" t="s">
        <v>171</v>
      </c>
      <c r="C744" s="10" t="s">
        <v>48</v>
      </c>
      <c r="D744" s="10" t="s">
        <v>70</v>
      </c>
      <c r="E744" s="10" t="s">
        <v>28</v>
      </c>
      <c r="F744" s="17">
        <f>300000</f>
        <v>300000</v>
      </c>
      <c r="G744" s="17">
        <f>300000</f>
        <v>300000</v>
      </c>
      <c r="H744" s="71">
        <f t="shared" si="129"/>
        <v>100</v>
      </c>
    </row>
    <row r="745" spans="1:8" outlineLevel="5">
      <c r="A745" s="9" t="s">
        <v>29</v>
      </c>
      <c r="B745" s="10" t="s">
        <v>171</v>
      </c>
      <c r="C745" s="10" t="s">
        <v>48</v>
      </c>
      <c r="D745" s="10" t="s">
        <v>70</v>
      </c>
      <c r="E745" s="10" t="s">
        <v>30</v>
      </c>
      <c r="F745" s="17">
        <f>F746</f>
        <v>84000</v>
      </c>
      <c r="G745" s="17">
        <f>G746</f>
        <v>84000</v>
      </c>
      <c r="H745" s="71">
        <f t="shared" si="129"/>
        <v>100</v>
      </c>
    </row>
    <row r="746" spans="1:8" outlineLevel="5">
      <c r="A746" s="12" t="s">
        <v>436</v>
      </c>
      <c r="B746" s="13" t="s">
        <v>171</v>
      </c>
      <c r="C746" s="13" t="s">
        <v>48</v>
      </c>
      <c r="D746" s="13" t="s">
        <v>70</v>
      </c>
      <c r="E746" s="13" t="s">
        <v>437</v>
      </c>
      <c r="F746" s="16">
        <f>80000+8000-4000</f>
        <v>84000</v>
      </c>
      <c r="G746" s="16">
        <f>80000+8000-4000</f>
        <v>84000</v>
      </c>
      <c r="H746" s="71">
        <f t="shared" si="129"/>
        <v>100</v>
      </c>
    </row>
    <row r="747" spans="1:8" ht="31.5" outlineLevel="5">
      <c r="A747" s="9" t="s">
        <v>492</v>
      </c>
      <c r="B747" s="10" t="s">
        <v>171</v>
      </c>
      <c r="C747" s="10" t="s">
        <v>48</v>
      </c>
      <c r="D747" s="10" t="s">
        <v>493</v>
      </c>
      <c r="E747" s="10" t="s">
        <v>8</v>
      </c>
      <c r="F747" s="17">
        <f>F748</f>
        <v>764612</v>
      </c>
      <c r="G747" s="17">
        <f>G748</f>
        <v>764612</v>
      </c>
      <c r="H747" s="71">
        <f t="shared" si="129"/>
        <v>100</v>
      </c>
    </row>
    <row r="748" spans="1:8" ht="47.25" outlineLevel="5">
      <c r="A748" s="9" t="s">
        <v>494</v>
      </c>
      <c r="B748" s="10" t="s">
        <v>171</v>
      </c>
      <c r="C748" s="10" t="s">
        <v>48</v>
      </c>
      <c r="D748" s="10" t="s">
        <v>495</v>
      </c>
      <c r="E748" s="10" t="s">
        <v>8</v>
      </c>
      <c r="F748" s="17">
        <f>F749+F754</f>
        <v>764612</v>
      </c>
      <c r="G748" s="17">
        <f>G749+G754</f>
        <v>764612</v>
      </c>
      <c r="H748" s="71">
        <f t="shared" si="129"/>
        <v>100</v>
      </c>
    </row>
    <row r="749" spans="1:8" outlineLevel="5">
      <c r="A749" s="9" t="s">
        <v>496</v>
      </c>
      <c r="B749" s="10" t="s">
        <v>171</v>
      </c>
      <c r="C749" s="10" t="s">
        <v>48</v>
      </c>
      <c r="D749" s="10" t="s">
        <v>497</v>
      </c>
      <c r="E749" s="10" t="s">
        <v>8</v>
      </c>
      <c r="F749" s="17">
        <f>F750+F752</f>
        <v>514612</v>
      </c>
      <c r="G749" s="17">
        <f>G750+G752</f>
        <v>514612</v>
      </c>
      <c r="H749" s="71">
        <f t="shared" si="129"/>
        <v>100</v>
      </c>
    </row>
    <row r="750" spans="1:8" ht="31.5" outlineLevel="5">
      <c r="A750" s="9" t="s">
        <v>25</v>
      </c>
      <c r="B750" s="10" t="s">
        <v>171</v>
      </c>
      <c r="C750" s="10" t="s">
        <v>48</v>
      </c>
      <c r="D750" s="10" t="s">
        <v>497</v>
      </c>
      <c r="E750" s="10" t="s">
        <v>26</v>
      </c>
      <c r="F750" s="17">
        <f>F751</f>
        <v>386612</v>
      </c>
      <c r="G750" s="17">
        <f>G751</f>
        <v>386612</v>
      </c>
      <c r="H750" s="71">
        <f t="shared" si="129"/>
        <v>100</v>
      </c>
    </row>
    <row r="751" spans="1:8" ht="31.5" outlineLevel="5">
      <c r="A751" s="9" t="s">
        <v>27</v>
      </c>
      <c r="B751" s="10" t="s">
        <v>171</v>
      </c>
      <c r="C751" s="10" t="s">
        <v>48</v>
      </c>
      <c r="D751" s="10" t="s">
        <v>497</v>
      </c>
      <c r="E751" s="10" t="s">
        <v>28</v>
      </c>
      <c r="F751" s="17">
        <f>100000+263100-60000+83512</f>
        <v>386612</v>
      </c>
      <c r="G751" s="17">
        <f>100000+263100-60000+83512</f>
        <v>386612</v>
      </c>
      <c r="H751" s="71">
        <f t="shared" ref="H751:H786" si="138">G751/F751*100</f>
        <v>100</v>
      </c>
    </row>
    <row r="752" spans="1:8" ht="31.5" outlineLevel="5">
      <c r="A752" s="9" t="s">
        <v>327</v>
      </c>
      <c r="B752" s="10" t="s">
        <v>171</v>
      </c>
      <c r="C752" s="10" t="s">
        <v>48</v>
      </c>
      <c r="D752" s="10" t="s">
        <v>497</v>
      </c>
      <c r="E752" s="10" t="s">
        <v>328</v>
      </c>
      <c r="F752" s="17">
        <f>F753</f>
        <v>128000</v>
      </c>
      <c r="G752" s="17">
        <f>G753</f>
        <v>128000</v>
      </c>
      <c r="H752" s="71">
        <f t="shared" si="138"/>
        <v>100</v>
      </c>
    </row>
    <row r="753" spans="1:8" outlineLevel="5">
      <c r="A753" s="9" t="s">
        <v>329</v>
      </c>
      <c r="B753" s="10" t="s">
        <v>171</v>
      </c>
      <c r="C753" s="10" t="s">
        <v>48</v>
      </c>
      <c r="D753" s="10" t="s">
        <v>497</v>
      </c>
      <c r="E753" s="10" t="s">
        <v>330</v>
      </c>
      <c r="F753" s="17">
        <f>50000+18000+60000</f>
        <v>128000</v>
      </c>
      <c r="G753" s="17">
        <f>50000+18000+60000</f>
        <v>128000</v>
      </c>
      <c r="H753" s="71">
        <f t="shared" si="138"/>
        <v>100</v>
      </c>
    </row>
    <row r="754" spans="1:8" ht="78.75" outlineLevel="5">
      <c r="A754" s="9" t="s">
        <v>498</v>
      </c>
      <c r="B754" s="10" t="s">
        <v>171</v>
      </c>
      <c r="C754" s="10" t="s">
        <v>48</v>
      </c>
      <c r="D754" s="10" t="s">
        <v>499</v>
      </c>
      <c r="E754" s="10" t="s">
        <v>8</v>
      </c>
      <c r="F754" s="17">
        <f t="shared" ref="F754:G755" si="139">F755</f>
        <v>250000</v>
      </c>
      <c r="G754" s="17">
        <f t="shared" si="139"/>
        <v>250000</v>
      </c>
      <c r="H754" s="71">
        <f t="shared" si="138"/>
        <v>100</v>
      </c>
    </row>
    <row r="755" spans="1:8" ht="31.5" outlineLevel="5">
      <c r="A755" s="9" t="s">
        <v>327</v>
      </c>
      <c r="B755" s="10" t="s">
        <v>171</v>
      </c>
      <c r="C755" s="10" t="s">
        <v>48</v>
      </c>
      <c r="D755" s="10" t="s">
        <v>499</v>
      </c>
      <c r="E755" s="10" t="s">
        <v>328</v>
      </c>
      <c r="F755" s="17">
        <f t="shared" si="139"/>
        <v>250000</v>
      </c>
      <c r="G755" s="17">
        <f t="shared" si="139"/>
        <v>250000</v>
      </c>
      <c r="H755" s="71">
        <f t="shared" si="138"/>
        <v>100</v>
      </c>
    </row>
    <row r="756" spans="1:8" ht="47.25" outlineLevel="5">
      <c r="A756" s="9" t="s">
        <v>490</v>
      </c>
      <c r="B756" s="10" t="s">
        <v>171</v>
      </c>
      <c r="C756" s="10" t="s">
        <v>48</v>
      </c>
      <c r="D756" s="10" t="s">
        <v>499</v>
      </c>
      <c r="E756" s="10" t="s">
        <v>491</v>
      </c>
      <c r="F756" s="17">
        <v>250000</v>
      </c>
      <c r="G756" s="17">
        <v>250000</v>
      </c>
      <c r="H756" s="71">
        <f t="shared" si="138"/>
        <v>100</v>
      </c>
    </row>
    <row r="757" spans="1:8" s="3" customFormat="1">
      <c r="A757" s="6" t="s">
        <v>500</v>
      </c>
      <c r="B757" s="7" t="s">
        <v>52</v>
      </c>
      <c r="C757" s="7" t="s">
        <v>6</v>
      </c>
      <c r="D757" s="7" t="s">
        <v>7</v>
      </c>
      <c r="E757" s="7" t="s">
        <v>8</v>
      </c>
      <c r="F757" s="8">
        <f>F758+F764</f>
        <v>83763347.469999999</v>
      </c>
      <c r="G757" s="8">
        <f>G758+G764</f>
        <v>83548468.019999981</v>
      </c>
      <c r="H757" s="70">
        <f t="shared" si="138"/>
        <v>99.743468406540245</v>
      </c>
    </row>
    <row r="758" spans="1:8" s="3" customFormat="1">
      <c r="A758" s="9" t="s">
        <v>501</v>
      </c>
      <c r="B758" s="10" t="s">
        <v>52</v>
      </c>
      <c r="C758" s="10" t="s">
        <v>5</v>
      </c>
      <c r="D758" s="10" t="s">
        <v>7</v>
      </c>
      <c r="E758" s="10" t="s">
        <v>8</v>
      </c>
      <c r="F758" s="17">
        <f t="shared" ref="F758:G762" si="140">F759</f>
        <v>300000</v>
      </c>
      <c r="G758" s="17">
        <f t="shared" si="140"/>
        <v>269319.57</v>
      </c>
      <c r="H758" s="71">
        <f t="shared" si="138"/>
        <v>89.77319</v>
      </c>
    </row>
    <row r="759" spans="1:8" s="3" customFormat="1" ht="47.25">
      <c r="A759" s="9" t="s">
        <v>502</v>
      </c>
      <c r="B759" s="10" t="s">
        <v>52</v>
      </c>
      <c r="C759" s="10" t="s">
        <v>5</v>
      </c>
      <c r="D759" s="10" t="s">
        <v>503</v>
      </c>
      <c r="E759" s="10" t="s">
        <v>8</v>
      </c>
      <c r="F759" s="11">
        <f t="shared" si="140"/>
        <v>300000</v>
      </c>
      <c r="G759" s="11">
        <f t="shared" si="140"/>
        <v>269319.57</v>
      </c>
      <c r="H759" s="71">
        <f t="shared" si="138"/>
        <v>89.77319</v>
      </c>
    </row>
    <row r="760" spans="1:8" s="3" customFormat="1" ht="47.25">
      <c r="A760" s="9" t="s">
        <v>504</v>
      </c>
      <c r="B760" s="10" t="s">
        <v>52</v>
      </c>
      <c r="C760" s="10" t="s">
        <v>5</v>
      </c>
      <c r="D760" s="10" t="s">
        <v>505</v>
      </c>
      <c r="E760" s="10" t="s">
        <v>8</v>
      </c>
      <c r="F760" s="11">
        <f t="shared" si="140"/>
        <v>300000</v>
      </c>
      <c r="G760" s="11">
        <f t="shared" si="140"/>
        <v>269319.57</v>
      </c>
      <c r="H760" s="71">
        <f t="shared" si="138"/>
        <v>89.77319</v>
      </c>
    </row>
    <row r="761" spans="1:8" s="3" customFormat="1">
      <c r="A761" s="9" t="s">
        <v>506</v>
      </c>
      <c r="B761" s="10" t="s">
        <v>52</v>
      </c>
      <c r="C761" s="10" t="s">
        <v>5</v>
      </c>
      <c r="D761" s="10" t="s">
        <v>507</v>
      </c>
      <c r="E761" s="10" t="s">
        <v>8</v>
      </c>
      <c r="F761" s="11">
        <f t="shared" si="140"/>
        <v>300000</v>
      </c>
      <c r="G761" s="11">
        <f t="shared" si="140"/>
        <v>269319.57</v>
      </c>
      <c r="H761" s="71">
        <f t="shared" si="138"/>
        <v>89.77319</v>
      </c>
    </row>
    <row r="762" spans="1:8" s="3" customFormat="1" ht="31.5">
      <c r="A762" s="9" t="s">
        <v>25</v>
      </c>
      <c r="B762" s="10" t="s">
        <v>52</v>
      </c>
      <c r="C762" s="10" t="s">
        <v>5</v>
      </c>
      <c r="D762" s="10" t="s">
        <v>507</v>
      </c>
      <c r="E762" s="10" t="s">
        <v>26</v>
      </c>
      <c r="F762" s="11">
        <f t="shared" si="140"/>
        <v>300000</v>
      </c>
      <c r="G762" s="11">
        <f t="shared" si="140"/>
        <v>269319.57</v>
      </c>
      <c r="H762" s="71">
        <f t="shared" si="138"/>
        <v>89.77319</v>
      </c>
    </row>
    <row r="763" spans="1:8" s="3" customFormat="1" ht="31.5">
      <c r="A763" s="9" t="s">
        <v>27</v>
      </c>
      <c r="B763" s="10" t="s">
        <v>52</v>
      </c>
      <c r="C763" s="10" t="s">
        <v>5</v>
      </c>
      <c r="D763" s="10" t="s">
        <v>507</v>
      </c>
      <c r="E763" s="10" t="s">
        <v>28</v>
      </c>
      <c r="F763" s="11">
        <f>200000+100000</f>
        <v>300000</v>
      </c>
      <c r="G763" s="72">
        <v>269319.57</v>
      </c>
      <c r="H763" s="71">
        <f t="shared" si="138"/>
        <v>89.77319</v>
      </c>
    </row>
    <row r="764" spans="1:8" s="3" customFormat="1">
      <c r="A764" s="9" t="s">
        <v>508</v>
      </c>
      <c r="B764" s="10" t="s">
        <v>52</v>
      </c>
      <c r="C764" s="10" t="s">
        <v>10</v>
      </c>
      <c r="D764" s="10" t="s">
        <v>7</v>
      </c>
      <c r="E764" s="10" t="s">
        <v>8</v>
      </c>
      <c r="F764" s="11">
        <f t="shared" ref="F764:G765" si="141">F765</f>
        <v>83463347.469999999</v>
      </c>
      <c r="G764" s="11">
        <f t="shared" si="141"/>
        <v>83279148.449999988</v>
      </c>
      <c r="H764" s="71">
        <f t="shared" si="138"/>
        <v>99.779305496863486</v>
      </c>
    </row>
    <row r="765" spans="1:8" s="3" customFormat="1" ht="47.25">
      <c r="A765" s="9" t="s">
        <v>502</v>
      </c>
      <c r="B765" s="10" t="s">
        <v>52</v>
      </c>
      <c r="C765" s="10" t="s">
        <v>10</v>
      </c>
      <c r="D765" s="10" t="s">
        <v>503</v>
      </c>
      <c r="E765" s="10" t="s">
        <v>8</v>
      </c>
      <c r="F765" s="11">
        <f t="shared" si="141"/>
        <v>83463347.469999999</v>
      </c>
      <c r="G765" s="11">
        <f t="shared" si="141"/>
        <v>83279148.449999988</v>
      </c>
      <c r="H765" s="71">
        <f t="shared" si="138"/>
        <v>99.779305496863486</v>
      </c>
    </row>
    <row r="766" spans="1:8" s="3" customFormat="1" ht="47.25">
      <c r="A766" s="9" t="s">
        <v>504</v>
      </c>
      <c r="B766" s="10" t="s">
        <v>52</v>
      </c>
      <c r="C766" s="10" t="s">
        <v>10</v>
      </c>
      <c r="D766" s="10" t="s">
        <v>505</v>
      </c>
      <c r="E766" s="10" t="s">
        <v>8</v>
      </c>
      <c r="F766" s="11">
        <f>F767+F770+F773+F776</f>
        <v>83463347.469999999</v>
      </c>
      <c r="G766" s="11">
        <f>G767+G770+G773+G776</f>
        <v>83279148.449999988</v>
      </c>
      <c r="H766" s="71">
        <f t="shared" si="138"/>
        <v>99.779305496863486</v>
      </c>
    </row>
    <row r="767" spans="1:8" s="3" customFormat="1">
      <c r="A767" s="9" t="s">
        <v>506</v>
      </c>
      <c r="B767" s="10" t="s">
        <v>52</v>
      </c>
      <c r="C767" s="10" t="s">
        <v>10</v>
      </c>
      <c r="D767" s="10" t="s">
        <v>507</v>
      </c>
      <c r="E767" s="10" t="s">
        <v>8</v>
      </c>
      <c r="F767" s="11">
        <f t="shared" ref="F767:G768" si="142">F768</f>
        <v>1428202.6</v>
      </c>
      <c r="G767" s="11">
        <f t="shared" si="142"/>
        <v>1330487.1599999999</v>
      </c>
      <c r="H767" s="71">
        <f t="shared" si="138"/>
        <v>93.158152771882627</v>
      </c>
    </row>
    <row r="768" spans="1:8" s="3" customFormat="1" ht="31.5">
      <c r="A768" s="9" t="s">
        <v>25</v>
      </c>
      <c r="B768" s="10" t="s">
        <v>52</v>
      </c>
      <c r="C768" s="10" t="s">
        <v>10</v>
      </c>
      <c r="D768" s="10" t="s">
        <v>507</v>
      </c>
      <c r="E768" s="10" t="s">
        <v>26</v>
      </c>
      <c r="F768" s="11">
        <f t="shared" si="142"/>
        <v>1428202.6</v>
      </c>
      <c r="G768" s="11">
        <f t="shared" si="142"/>
        <v>1330487.1599999999</v>
      </c>
      <c r="H768" s="71">
        <f t="shared" si="138"/>
        <v>93.158152771882627</v>
      </c>
    </row>
    <row r="769" spans="1:8" s="3" customFormat="1" ht="31.5">
      <c r="A769" s="9" t="s">
        <v>27</v>
      </c>
      <c r="B769" s="10" t="s">
        <v>52</v>
      </c>
      <c r="C769" s="10" t="s">
        <v>10</v>
      </c>
      <c r="D769" s="10" t="s">
        <v>507</v>
      </c>
      <c r="E769" s="10" t="s">
        <v>28</v>
      </c>
      <c r="F769" s="11">
        <f>100000+4366.79+200000+500000+403225.81+220610</f>
        <v>1428202.6</v>
      </c>
      <c r="G769" s="72">
        <v>1330487.1599999999</v>
      </c>
      <c r="H769" s="71">
        <f t="shared" si="138"/>
        <v>93.158152771882627</v>
      </c>
    </row>
    <row r="770" spans="1:8" s="3" customFormat="1" ht="21.75" customHeight="1">
      <c r="A770" s="9" t="s">
        <v>509</v>
      </c>
      <c r="B770" s="10" t="s">
        <v>52</v>
      </c>
      <c r="C770" s="10" t="s">
        <v>10</v>
      </c>
      <c r="D770" s="10" t="s">
        <v>510</v>
      </c>
      <c r="E770" s="10" t="s">
        <v>8</v>
      </c>
      <c r="F770" s="11">
        <f t="shared" ref="F770:G771" si="143">F771</f>
        <v>86483.580000000016</v>
      </c>
      <c r="G770" s="11">
        <f t="shared" si="143"/>
        <v>0</v>
      </c>
      <c r="H770" s="71">
        <f t="shared" si="138"/>
        <v>0</v>
      </c>
    </row>
    <row r="771" spans="1:8" s="3" customFormat="1" ht="31.5">
      <c r="A771" s="9" t="s">
        <v>25</v>
      </c>
      <c r="B771" s="10" t="s">
        <v>52</v>
      </c>
      <c r="C771" s="10" t="s">
        <v>10</v>
      </c>
      <c r="D771" s="10" t="s">
        <v>510</v>
      </c>
      <c r="E771" s="10" t="s">
        <v>26</v>
      </c>
      <c r="F771" s="11">
        <f t="shared" si="143"/>
        <v>86483.580000000016</v>
      </c>
      <c r="G771" s="11">
        <f t="shared" si="143"/>
        <v>0</v>
      </c>
      <c r="H771" s="71">
        <f t="shared" si="138"/>
        <v>0</v>
      </c>
    </row>
    <row r="772" spans="1:8" s="3" customFormat="1" ht="31.5">
      <c r="A772" s="9" t="s">
        <v>27</v>
      </c>
      <c r="B772" s="10" t="s">
        <v>52</v>
      </c>
      <c r="C772" s="10" t="s">
        <v>10</v>
      </c>
      <c r="D772" s="10" t="s">
        <v>510</v>
      </c>
      <c r="E772" s="10" t="s">
        <v>28</v>
      </c>
      <c r="F772" s="11">
        <f>6961.3+83889.07-4366.79</f>
        <v>86483.580000000016</v>
      </c>
      <c r="G772" s="11">
        <v>0</v>
      </c>
      <c r="H772" s="71">
        <f t="shared" si="138"/>
        <v>0</v>
      </c>
    </row>
    <row r="773" spans="1:8" s="3" customFormat="1" ht="31.5">
      <c r="A773" s="9" t="s">
        <v>511</v>
      </c>
      <c r="B773" s="10" t="s">
        <v>52</v>
      </c>
      <c r="C773" s="10" t="s">
        <v>10</v>
      </c>
      <c r="D773" s="10" t="s">
        <v>512</v>
      </c>
      <c r="E773" s="10" t="s">
        <v>8</v>
      </c>
      <c r="F773" s="11">
        <f t="shared" ref="F773:G774" si="144">F774</f>
        <v>1303500</v>
      </c>
      <c r="G773" s="11">
        <f t="shared" si="144"/>
        <v>1303500</v>
      </c>
      <c r="H773" s="71">
        <f t="shared" si="138"/>
        <v>100</v>
      </c>
    </row>
    <row r="774" spans="1:8" s="3" customFormat="1" ht="31.5">
      <c r="A774" s="9" t="s">
        <v>25</v>
      </c>
      <c r="B774" s="10" t="s">
        <v>52</v>
      </c>
      <c r="C774" s="10" t="s">
        <v>10</v>
      </c>
      <c r="D774" s="10" t="s">
        <v>512</v>
      </c>
      <c r="E774" s="10" t="s">
        <v>26</v>
      </c>
      <c r="F774" s="11">
        <f t="shared" si="144"/>
        <v>1303500</v>
      </c>
      <c r="G774" s="11">
        <f t="shared" si="144"/>
        <v>1303500</v>
      </c>
      <c r="H774" s="71">
        <f t="shared" si="138"/>
        <v>100</v>
      </c>
    </row>
    <row r="775" spans="1:8" s="3" customFormat="1" ht="31.5">
      <c r="A775" s="9" t="s">
        <v>27</v>
      </c>
      <c r="B775" s="10" t="s">
        <v>52</v>
      </c>
      <c r="C775" s="10" t="s">
        <v>10</v>
      </c>
      <c r="D775" s="10" t="s">
        <v>512</v>
      </c>
      <c r="E775" s="10" t="s">
        <v>28</v>
      </c>
      <c r="F775" s="11">
        <f>39105+1264395</f>
        <v>1303500</v>
      </c>
      <c r="G775" s="11">
        <f>39105+1264395</f>
        <v>1303500</v>
      </c>
      <c r="H775" s="71">
        <f t="shared" si="138"/>
        <v>100</v>
      </c>
    </row>
    <row r="776" spans="1:8" s="3" customFormat="1" ht="31.5">
      <c r="A776" s="9" t="s">
        <v>513</v>
      </c>
      <c r="B776" s="10" t="s">
        <v>52</v>
      </c>
      <c r="C776" s="10" t="s">
        <v>10</v>
      </c>
      <c r="D776" s="10" t="s">
        <v>514</v>
      </c>
      <c r="E776" s="10" t="s">
        <v>8</v>
      </c>
      <c r="F776" s="11">
        <f t="shared" ref="F776:G777" si="145">F777</f>
        <v>80645161.289999992</v>
      </c>
      <c r="G776" s="11">
        <f t="shared" si="145"/>
        <v>80645161.289999992</v>
      </c>
      <c r="H776" s="71">
        <f t="shared" si="138"/>
        <v>100</v>
      </c>
    </row>
    <row r="777" spans="1:8" s="3" customFormat="1" ht="31.5">
      <c r="A777" s="9" t="s">
        <v>205</v>
      </c>
      <c r="B777" s="10" t="s">
        <v>52</v>
      </c>
      <c r="C777" s="10" t="s">
        <v>10</v>
      </c>
      <c r="D777" s="10" t="s">
        <v>514</v>
      </c>
      <c r="E777" s="10" t="s">
        <v>206</v>
      </c>
      <c r="F777" s="11">
        <f t="shared" si="145"/>
        <v>80645161.289999992</v>
      </c>
      <c r="G777" s="11">
        <f t="shared" si="145"/>
        <v>80645161.289999992</v>
      </c>
      <c r="H777" s="71">
        <f t="shared" si="138"/>
        <v>100</v>
      </c>
    </row>
    <row r="778" spans="1:8" s="3" customFormat="1">
      <c r="A778" s="40" t="s">
        <v>207</v>
      </c>
      <c r="B778" s="10" t="s">
        <v>52</v>
      </c>
      <c r="C778" s="10" t="s">
        <v>10</v>
      </c>
      <c r="D778" s="10" t="s">
        <v>514</v>
      </c>
      <c r="E778" s="10" t="s">
        <v>208</v>
      </c>
      <c r="F778" s="11">
        <f>1048387.1+130000000-50000000-403225.81</f>
        <v>80645161.289999992</v>
      </c>
      <c r="G778" s="11">
        <f>1048387.1+130000000-50000000-403225.81</f>
        <v>80645161.289999992</v>
      </c>
      <c r="H778" s="71">
        <f t="shared" si="138"/>
        <v>100</v>
      </c>
    </row>
    <row r="779" spans="1:8" outlineLevel="5">
      <c r="A779" s="48" t="s">
        <v>515</v>
      </c>
      <c r="B779" s="7" t="s">
        <v>228</v>
      </c>
      <c r="C779" s="7" t="s">
        <v>6</v>
      </c>
      <c r="D779" s="7" t="s">
        <v>7</v>
      </c>
      <c r="E779" s="7" t="s">
        <v>8</v>
      </c>
      <c r="F779" s="8">
        <f t="shared" ref="F779:G784" si="146">F780</f>
        <v>3415901</v>
      </c>
      <c r="G779" s="8">
        <f t="shared" si="146"/>
        <v>3415901</v>
      </c>
      <c r="H779" s="70">
        <f t="shared" si="138"/>
        <v>100</v>
      </c>
    </row>
    <row r="780" spans="1:8" outlineLevel="5">
      <c r="A780" s="9" t="s">
        <v>516</v>
      </c>
      <c r="B780" s="10" t="s">
        <v>228</v>
      </c>
      <c r="C780" s="10" t="s">
        <v>10</v>
      </c>
      <c r="D780" s="10" t="s">
        <v>7</v>
      </c>
      <c r="E780" s="10" t="s">
        <v>8</v>
      </c>
      <c r="F780" s="11">
        <f t="shared" si="146"/>
        <v>3415901</v>
      </c>
      <c r="G780" s="11">
        <f t="shared" si="146"/>
        <v>3415901</v>
      </c>
      <c r="H780" s="71">
        <f t="shared" si="138"/>
        <v>100</v>
      </c>
    </row>
    <row r="781" spans="1:8" ht="31.5" outlineLevel="5">
      <c r="A781" s="18" t="s">
        <v>80</v>
      </c>
      <c r="B781" s="10" t="s">
        <v>228</v>
      </c>
      <c r="C781" s="10" t="s">
        <v>10</v>
      </c>
      <c r="D781" s="10" t="s">
        <v>81</v>
      </c>
      <c r="E781" s="10" t="s">
        <v>8</v>
      </c>
      <c r="F781" s="17">
        <f t="shared" si="146"/>
        <v>3415901</v>
      </c>
      <c r="G781" s="17">
        <f t="shared" si="146"/>
        <v>3415901</v>
      </c>
      <c r="H781" s="71">
        <f t="shared" si="138"/>
        <v>100</v>
      </c>
    </row>
    <row r="782" spans="1:8" ht="30.75" customHeight="1" outlineLevel="5">
      <c r="A782" s="9" t="s">
        <v>82</v>
      </c>
      <c r="B782" s="10" t="s">
        <v>228</v>
      </c>
      <c r="C782" s="10" t="s">
        <v>10</v>
      </c>
      <c r="D782" s="10" t="s">
        <v>83</v>
      </c>
      <c r="E782" s="10" t="s">
        <v>8</v>
      </c>
      <c r="F782" s="17">
        <f t="shared" si="146"/>
        <v>3415901</v>
      </c>
      <c r="G782" s="17">
        <f t="shared" si="146"/>
        <v>3415901</v>
      </c>
      <c r="H782" s="71">
        <f t="shared" si="138"/>
        <v>100</v>
      </c>
    </row>
    <row r="783" spans="1:8" outlineLevel="5">
      <c r="A783" s="36" t="s">
        <v>517</v>
      </c>
      <c r="B783" s="10" t="s">
        <v>228</v>
      </c>
      <c r="C783" s="10" t="s">
        <v>10</v>
      </c>
      <c r="D783" s="10" t="s">
        <v>518</v>
      </c>
      <c r="E783" s="10" t="s">
        <v>8</v>
      </c>
      <c r="F783" s="17">
        <f t="shared" si="146"/>
        <v>3415901</v>
      </c>
      <c r="G783" s="17">
        <f t="shared" si="146"/>
        <v>3415901</v>
      </c>
      <c r="H783" s="71">
        <f t="shared" si="138"/>
        <v>100</v>
      </c>
    </row>
    <row r="784" spans="1:8" ht="31.5" outlineLevel="5">
      <c r="A784" s="9" t="s">
        <v>327</v>
      </c>
      <c r="B784" s="10" t="s">
        <v>228</v>
      </c>
      <c r="C784" s="10" t="s">
        <v>10</v>
      </c>
      <c r="D784" s="10" t="s">
        <v>518</v>
      </c>
      <c r="E784" s="10" t="s">
        <v>328</v>
      </c>
      <c r="F784" s="17">
        <f t="shared" si="146"/>
        <v>3415901</v>
      </c>
      <c r="G784" s="17">
        <f t="shared" si="146"/>
        <v>3415901</v>
      </c>
      <c r="H784" s="71">
        <f t="shared" si="138"/>
        <v>100</v>
      </c>
    </row>
    <row r="785" spans="1:8" outlineLevel="5">
      <c r="A785" s="12" t="s">
        <v>519</v>
      </c>
      <c r="B785" s="13" t="s">
        <v>228</v>
      </c>
      <c r="C785" s="13" t="s">
        <v>10</v>
      </c>
      <c r="D785" s="13" t="s">
        <v>518</v>
      </c>
      <c r="E785" s="13" t="s">
        <v>520</v>
      </c>
      <c r="F785" s="16">
        <f>2680300+500000+235601</f>
        <v>3415901</v>
      </c>
      <c r="G785" s="16">
        <f>2680300+500000+235601</f>
        <v>3415901</v>
      </c>
      <c r="H785" s="71">
        <f t="shared" si="138"/>
        <v>100</v>
      </c>
    </row>
    <row r="786" spans="1:8" ht="19.5" customHeight="1">
      <c r="A786" s="78" t="s">
        <v>521</v>
      </c>
      <c r="B786" s="78"/>
      <c r="C786" s="78"/>
      <c r="D786" s="78"/>
      <c r="E786" s="78"/>
      <c r="F786" s="58">
        <f>F13+F205+F218+F225+F301+F409+F627+F678+F757+F779</f>
        <v>2157283815.2799997</v>
      </c>
      <c r="G786" s="58">
        <f>G13+G205+G218+G225+G301+G409+G627+G678+G757+G779</f>
        <v>2113630522.6400001</v>
      </c>
      <c r="H786" s="73">
        <f t="shared" si="138"/>
        <v>97.976469654534824</v>
      </c>
    </row>
    <row r="787" spans="1:8" ht="27.75" customHeight="1">
      <c r="F787" s="4"/>
    </row>
    <row r="788" spans="1:8">
      <c r="G788" s="5"/>
      <c r="H788" s="5"/>
    </row>
  </sheetData>
  <autoFilter ref="A12:H786"/>
  <mergeCells count="4">
    <mergeCell ref="A7:H7"/>
    <mergeCell ref="A8:H8"/>
    <mergeCell ref="A9:F9"/>
    <mergeCell ref="A786:E786"/>
  </mergeCells>
  <pageMargins left="0.39374999999999999" right="0.39374999999999999" top="0.59027777777777801" bottom="0.39374999999999999" header="0.196527777777778" footer="0.511811023622047"/>
  <pageSetup paperSize="9" scale="89" fitToHeight="0" orientation="landscape" horizontalDpi="300" verticalDpi="300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Revenko</cp:lastModifiedBy>
  <cp:revision>3</cp:revision>
  <cp:lastPrinted>2025-04-03T05:34:09Z</cp:lastPrinted>
  <dcterms:created xsi:type="dcterms:W3CDTF">2009-10-01T23:01:22Z</dcterms:created>
  <dcterms:modified xsi:type="dcterms:W3CDTF">2025-05-22T23:28:17Z</dcterms:modified>
  <dc:language>ru-RU</dc:language>
</cp:coreProperties>
</file>